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3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LEISTUNGEN\"/>
    </mc:Choice>
  </mc:AlternateContent>
  <xr:revisionPtr revIDLastSave="0" documentId="13_ncr:1_{C70941B7-DD47-4584-B6D9-5CC4B809856C}" xr6:coauthVersionLast="47" xr6:coauthVersionMax="47" xr10:uidLastSave="{00000000-0000-0000-0000-000000000000}"/>
  <workbookProtection workbookAlgorithmName="SHA-512" workbookHashValue="oe3Zi+Elg0a/YQqxF+0QnisY90ZCyqZ31rH9L+ioHEfaenfj70RZP2++ONJ5miISM+xlw4zEPXmwyrHWXTNMig==" workbookSaltValue="8KX7WJF+jl1LkCV+FipT9A==" workbookSpinCount="100000" lockStructure="1"/>
  <bookViews>
    <workbookView xWindow="-120" yWindow="-120" windowWidth="38640" windowHeight="21240" tabRatio="753" firstSheet="4" activeTab="4" xr2:uid="{00000000-000D-0000-FFFF-FFFF00000000}"/>
  </bookViews>
  <sheets>
    <sheet name="BASE-C90POWER" sheetId="24" state="hidden" r:id="rId1"/>
    <sheet name="BASE-C120POWER" sheetId="25" state="hidden" r:id="rId2"/>
    <sheet name="BASE-C150POWER" sheetId="26" state="hidden" r:id="rId3"/>
    <sheet name="BASE-C200POWER" sheetId="27" state="hidden" r:id="rId4"/>
    <sheet name="TOOLS COLD" sheetId="23" r:id="rId5"/>
    <sheet name="BASE-COLD" sheetId="1" state="hidden" r:id="rId6"/>
    <sheet name="BASE-HEIZ" sheetId="5" state="hidden" r:id="rId7"/>
    <sheet name="TOOLS FAN" sheetId="29" r:id="rId8"/>
    <sheet name="BASE-FAN90-EC40-5" sheetId="30" state="hidden" r:id="rId9"/>
    <sheet name="TXT" sheetId="31" state="hidden" r:id="rId10"/>
    <sheet name="BASE_FAN_TOOLS" sheetId="51" state="hidden" r:id="rId11"/>
    <sheet name="TOOLS LIB" sheetId="28" r:id="rId12"/>
    <sheet name="COLD288-125-T2" sheetId="2" state="hidden" r:id="rId13"/>
    <sheet name="COLD288-125-N2" sheetId="10" state="hidden" r:id="rId14"/>
    <sheet name="COLD288-125-T4" sheetId="11" state="hidden" r:id="rId15"/>
    <sheet name="COLD288-125-N4" sheetId="12" state="hidden" r:id="rId16"/>
    <sheet name="COLD256-160-T2" sheetId="16" state="hidden" r:id="rId17"/>
    <sheet name="COLD256-160-N2" sheetId="17" state="hidden" r:id="rId18"/>
    <sheet name="COLD256-160-T4" sheetId="18" state="hidden" r:id="rId19"/>
    <sheet name="COLD256-160-N4" sheetId="19" state="hidden" r:id="rId20"/>
    <sheet name="Druckverust 2L" sheetId="21" state="hidden" r:id="rId21"/>
    <sheet name="Druckverust 4L" sheetId="22" state="hidden" r:id="rId22"/>
    <sheet name="FAN 90 EC40" sheetId="32" state="hidden" r:id="rId23"/>
    <sheet name="FAN 109 EC45" sheetId="33" state="hidden" r:id="rId24"/>
    <sheet name="BASE-FAN109-EC45-5" sheetId="34" state="hidden" r:id="rId25"/>
    <sheet name="FAN 125 EC65" sheetId="35" state="hidden" r:id="rId26"/>
    <sheet name="BASE-FAN125-EC65-5" sheetId="36" state="hidden" r:id="rId27"/>
    <sheet name="FAN 109 AC45" sheetId="37" state="hidden" r:id="rId28"/>
    <sheet name="BASE-FAN109-AC45-5" sheetId="38" state="hidden" r:id="rId29"/>
    <sheet name="LIB_090POWER" sheetId="39" state="hidden" r:id="rId30"/>
    <sheet name="LIB_120POWER" sheetId="40" state="hidden" r:id="rId31"/>
    <sheet name="LIB_150POWER" sheetId="41" state="hidden" r:id="rId32"/>
    <sheet name="LIB_200POWER" sheetId="42" state="hidden" r:id="rId33"/>
    <sheet name="LIB_90" sheetId="43" state="hidden" r:id="rId34"/>
    <sheet name="LIB_109" sheetId="44" state="hidden" r:id="rId35"/>
    <sheet name="LIB_140" sheetId="45" state="hidden" r:id="rId36"/>
    <sheet name="LIB_190" sheetId="46" state="hidden" r:id="rId37"/>
    <sheet name="BASE-C90" sheetId="47" state="hidden" r:id="rId38"/>
    <sheet name="BASE-C109" sheetId="48" state="hidden" r:id="rId39"/>
    <sheet name="BASE-C140" sheetId="49" state="hidden" r:id="rId40"/>
    <sheet name="BASE-C190" sheetId="50" state="hidden" r:id="rId41"/>
    <sheet name="TAB-FAKTOREN LIB" sheetId="52" state="hidden" r:id="rId42"/>
    <sheet name="TAB-FAKTOREN FAN" sheetId="53" state="hidden" r:id="rId43"/>
    <sheet name="FAKTOREN" sheetId="54" state="hidden" r:id="rId44"/>
    <sheet name="BASE-CVP" sheetId="56" state="hidden" r:id="rId45"/>
    <sheet name="TXT_K" sheetId="3" state="hidden" r:id="rId46"/>
    <sheet name="ARIA AUFLISTUNG" sheetId="55" state="hidden" r:id="rId47"/>
    <sheet name="EXTRA" sheetId="13" state="hidden" r:id="rId48"/>
    <sheet name="TEST" sheetId="15" state="hidden" r:id="rId49"/>
    <sheet name="FAKTOR-H" sheetId="4" state="hidden" r:id="rId50"/>
  </sheets>
  <externalReferences>
    <externalReference r:id="rId51"/>
  </externalReferences>
  <definedNames>
    <definedName name="ABMESSUNG">'TOOLS FAN'!$B$9:$R$16</definedName>
    <definedName name="ABMESSUNG_K">'TOOLS COLD'!$B$15:$R$22</definedName>
    <definedName name="ARIA176">'BASE-CVP'!$D$103:$D$105</definedName>
    <definedName name="ARIA176P">'BASE-CVP'!$K$103:$K$105</definedName>
    <definedName name="ARIA224">'BASE-CVP'!$E$103:$E$105</definedName>
    <definedName name="ARIA224P">'BASE-CVP'!$L$103:$L$105</definedName>
    <definedName name="ARIA240">'BASE-CVP'!$F$103:$F$105</definedName>
    <definedName name="ARIA240P">'BASE-CVP'!$M$103:$M$105</definedName>
    <definedName name="ARIA272">'BASE-CVP'!$G$103:$G$105</definedName>
    <definedName name="ARIA272P">'BASE-CVP'!$N$103:$N$105</definedName>
    <definedName name="ARIA304">'BASE-CVP'!$H$103:$H$105</definedName>
    <definedName name="ARIA304P">'BASE-CVP'!$O$103:$O$105</definedName>
    <definedName name="ARIA336">'BASE-CVP'!$I$103:$I$105</definedName>
    <definedName name="ARIA336P">'BASE-CVP'!$P$103:$P$105</definedName>
    <definedName name="ARIA368">'BASE-CVP'!$J$103:$J$105</definedName>
    <definedName name="ARIA368P">'BASE-CVP'!$Q$103:$Q$105</definedName>
    <definedName name="BASE_C109" localSheetId="1">'BASE-C120POWER'!$A$1:$I$28</definedName>
    <definedName name="BASE_C109" localSheetId="39">'BASE-C140'!$A$1:$I$28</definedName>
    <definedName name="BASE_C109" localSheetId="2">'BASE-C150POWER'!$A$1:$I$28</definedName>
    <definedName name="BASE_C109" localSheetId="40">'BASE-C190'!$A$1:$H$28</definedName>
    <definedName name="BASE_C109" localSheetId="3">'BASE-C200POWER'!$A$1:$H$28</definedName>
    <definedName name="BASE_C109" localSheetId="37">'BASE-C90'!$A$1:$I$28</definedName>
    <definedName name="BASE_C109" localSheetId="0">'BASE-C90POWER'!$A$1:$I$28</definedName>
    <definedName name="BASE_C109" localSheetId="28">'BASE-FAN109-AC45-5'!$A$1:$A$26</definedName>
    <definedName name="BASE_C109" localSheetId="24">'BASE-FAN109-EC45-5'!$A$1:$A$26</definedName>
    <definedName name="BASE_C109" localSheetId="26">'BASE-FAN125-EC65-5'!$A$1:$A$26</definedName>
    <definedName name="BASE_C109" localSheetId="8">'BASE-FAN90-EC40-5'!$A$1:$A$26</definedName>
    <definedName name="BASE_C109">'BASE-C109'!$A$1:$I$28</definedName>
    <definedName name="BASE_CVP">'BASE-CVP'!$A$1:$H$85</definedName>
    <definedName name="BASE_CVQ109" localSheetId="28">'BASE-FAN109-AC45-5'!$A$1:$E$26</definedName>
    <definedName name="BASE_CVQ109" localSheetId="24">'BASE-FAN109-EC45-5'!$A$1:$E$26</definedName>
    <definedName name="BASE_CVQ109" localSheetId="26">'BASE-FAN125-EC65-5'!$A$1:$E$26</definedName>
    <definedName name="BASE_CVQ109" localSheetId="8">'BASE-FAN90-EC40-5'!$A$1:$E$26</definedName>
    <definedName name="BASE_CVQ109">#REF!</definedName>
    <definedName name="CVP_L">'BASE-CVP'!$A$103:$B$129</definedName>
    <definedName name="_xlnm.Print_Area" localSheetId="46">'ARIA AUFLISTUNG'!$B$7:$N$40</definedName>
    <definedName name="_xlnm.Print_Area" localSheetId="17">'COLD256-160-N2'!$B$7:$O$54</definedName>
    <definedName name="_xlnm.Print_Area" localSheetId="19">'COLD256-160-N4'!$B$7:$O$54</definedName>
    <definedName name="_xlnm.Print_Area" localSheetId="16">'COLD256-160-T2'!$B$7:$O$54</definedName>
    <definedName name="_xlnm.Print_Area" localSheetId="18">'COLD256-160-T4'!$B$7:$O$54</definedName>
    <definedName name="_xlnm.Print_Area" localSheetId="13">'COLD288-125-N2'!$B$7:$O$54</definedName>
    <definedName name="_xlnm.Print_Area" localSheetId="15">'COLD288-125-N4'!$B$7:$O$54</definedName>
    <definedName name="_xlnm.Print_Area" localSheetId="12">'COLD288-125-T2'!$B$7:$O$54</definedName>
    <definedName name="_xlnm.Print_Area" localSheetId="14">'COLD288-125-T4'!$B$7:$O$54</definedName>
    <definedName name="_xlnm.Print_Area" localSheetId="20">'Druckverust 2L'!$A$3:$I$49</definedName>
    <definedName name="_xlnm.Print_Area" localSheetId="21">'Druckverust 4L'!$A$3:$I$49</definedName>
    <definedName name="_xlnm.Print_Area" localSheetId="27">'FAN 109 AC45'!$B$7:$M$56</definedName>
    <definedName name="_xlnm.Print_Area" localSheetId="23">'FAN 109 EC45'!$B$7:$M$58</definedName>
    <definedName name="_xlnm.Print_Area" localSheetId="25">'FAN 125 EC65'!$B$7:$J$56</definedName>
    <definedName name="_xlnm.Print_Area" localSheetId="22">'FAN 90 EC40'!$B$7:$M$56</definedName>
    <definedName name="_xlnm.Print_Area" localSheetId="29">LIB_090POWER!$B$7:$J$60</definedName>
    <definedName name="_xlnm.Print_Area" localSheetId="34">LIB_109!$B$7:$K$60</definedName>
    <definedName name="_xlnm.Print_Area" localSheetId="30">LIB_120POWER!$B$7:$J$60</definedName>
    <definedName name="_xlnm.Print_Area" localSheetId="35">LIB_140!$B$7:$K$60</definedName>
    <definedName name="_xlnm.Print_Area" localSheetId="31">LIB_150POWER!$B$7:$K$60</definedName>
    <definedName name="_xlnm.Print_Area" localSheetId="36">LIB_190!$B$7:$K$60</definedName>
    <definedName name="_xlnm.Print_Area" localSheetId="32">LIB_200POWER!$B$7:$K$60</definedName>
    <definedName name="_xlnm.Print_Area" localSheetId="33">LIB_90!$B$7:$K$60</definedName>
    <definedName name="_xlnm.Print_Area" localSheetId="42">'TAB-FAKTOREN FAN'!$A$2:$L$51</definedName>
    <definedName name="_xlnm.Print_Area" localSheetId="41">'TAB-FAKTOREN LIB'!$A$2:$L$51</definedName>
    <definedName name="_xlnm.Print_Area" localSheetId="4">'TOOLS COLD'!$B$27:$S$71</definedName>
    <definedName name="_xlnm.Print_Area" localSheetId="7">'TOOLS FAN'!$B$19:$S$46</definedName>
    <definedName name="_xlnm.Print_Area" localSheetId="11">'TOOLS LIB'!$B$2:$P$48</definedName>
    <definedName name="FAKT_C109">FAKTOREN!$A:$I</definedName>
    <definedName name="FAKT256">'TOOLS FAN'!$M$1:$O$6</definedName>
    <definedName name="FAKT256_K">'TOOLS COLD'!$N$1:$P$8</definedName>
    <definedName name="FAKTOR">'[1]FAKTOR-H'!$A$1:$B$129</definedName>
    <definedName name="FAKTOR_K">'FAKTOR-H'!$A$1:$B$129</definedName>
    <definedName name="LEISTUNGEN">'[1]BASE-COLD'!$A$1:$AC$939</definedName>
    <definedName name="LEISTUNGEN_K">'BASE-COLD'!$A$1:$AC$940</definedName>
    <definedName name="TXT" localSheetId="7">TXT!$A$1:$C$100</definedName>
    <definedName name="TXT">TXT!$A$1:$C$100</definedName>
    <definedName name="TXT_K">TXT_K!$A$1:$C$100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7" i="23" l="1"/>
  <c r="B41" i="23"/>
  <c r="M11" i="55"/>
  <c r="H4" i="55"/>
  <c r="J4" i="2"/>
  <c r="B40" i="2" l="1"/>
  <c r="B60" i="46" l="1"/>
  <c r="B60" i="45"/>
  <c r="B60" i="44"/>
  <c r="B60" i="43"/>
  <c r="B60" i="42"/>
  <c r="B60" i="41"/>
  <c r="B60" i="40"/>
  <c r="B60" i="39" l="1"/>
  <c r="B29" i="37"/>
  <c r="B28" i="37"/>
  <c r="B35" i="35"/>
  <c r="B34" i="35"/>
  <c r="B33" i="35"/>
  <c r="B35" i="33"/>
  <c r="B34" i="33"/>
  <c r="B35" i="32"/>
  <c r="B34" i="32"/>
  <c r="C39" i="55"/>
  <c r="C38" i="55"/>
  <c r="C37" i="55"/>
  <c r="C36" i="55"/>
  <c r="C35" i="55"/>
  <c r="B33" i="55"/>
  <c r="M32" i="55"/>
  <c r="J32" i="55"/>
  <c r="D32" i="55"/>
  <c r="B32" i="55"/>
  <c r="AJ30" i="55"/>
  <c r="AD30" i="55"/>
  <c r="Z30" i="55"/>
  <c r="R30" i="55"/>
  <c r="P30" i="55"/>
  <c r="X30" i="55" s="1"/>
  <c r="N30" i="55"/>
  <c r="M30" i="55"/>
  <c r="V30" i="55" s="1"/>
  <c r="AH30" i="55" s="1"/>
  <c r="L30" i="55"/>
  <c r="S30" i="55" s="1"/>
  <c r="K30" i="55"/>
  <c r="J30" i="55"/>
  <c r="AJ29" i="55"/>
  <c r="AD29" i="55"/>
  <c r="Z29" i="55"/>
  <c r="R29" i="55"/>
  <c r="P29" i="55"/>
  <c r="AB29" i="55" s="1"/>
  <c r="N29" i="55"/>
  <c r="M29" i="55"/>
  <c r="T29" i="55" s="1"/>
  <c r="L29" i="55"/>
  <c r="S29" i="55" s="1"/>
  <c r="K29" i="55"/>
  <c r="J29" i="55"/>
  <c r="AJ28" i="55"/>
  <c r="AD28" i="55"/>
  <c r="Z28" i="55"/>
  <c r="R28" i="55"/>
  <c r="P28" i="55"/>
  <c r="Y28" i="55" s="1"/>
  <c r="N28" i="55"/>
  <c r="M28" i="55"/>
  <c r="T28" i="55" s="1"/>
  <c r="L28" i="55"/>
  <c r="S28" i="55" s="1"/>
  <c r="K28" i="55"/>
  <c r="J28" i="55"/>
  <c r="AJ27" i="55"/>
  <c r="AD27" i="55"/>
  <c r="Z27" i="55"/>
  <c r="R27" i="55"/>
  <c r="P27" i="55"/>
  <c r="AA27" i="55" s="1"/>
  <c r="N27" i="55"/>
  <c r="M27" i="55"/>
  <c r="V27" i="55" s="1"/>
  <c r="AH27" i="55" s="1"/>
  <c r="L27" i="55"/>
  <c r="S27" i="55" s="1"/>
  <c r="K27" i="55"/>
  <c r="J27" i="55"/>
  <c r="AJ26" i="55"/>
  <c r="AD26" i="55"/>
  <c r="Z26" i="55"/>
  <c r="V26" i="55"/>
  <c r="AH26" i="55" s="1"/>
  <c r="R26" i="55"/>
  <c r="P26" i="55"/>
  <c r="AB26" i="55" s="1"/>
  <c r="N26" i="55"/>
  <c r="M26" i="55"/>
  <c r="L26" i="55"/>
  <c r="S26" i="55" s="1"/>
  <c r="K26" i="55"/>
  <c r="J26" i="55"/>
  <c r="AJ25" i="55"/>
  <c r="AD25" i="55"/>
  <c r="Z25" i="55"/>
  <c r="R25" i="55"/>
  <c r="P25" i="55"/>
  <c r="AB25" i="55" s="1"/>
  <c r="N25" i="55"/>
  <c r="M25" i="55"/>
  <c r="T25" i="55" s="1"/>
  <c r="L25" i="55"/>
  <c r="S25" i="55" s="1"/>
  <c r="K25" i="55"/>
  <c r="J25" i="55"/>
  <c r="AJ24" i="55"/>
  <c r="AD24" i="55"/>
  <c r="Z24" i="55"/>
  <c r="R24" i="55"/>
  <c r="P24" i="55"/>
  <c r="AB24" i="55" s="1"/>
  <c r="N24" i="55"/>
  <c r="M24" i="55"/>
  <c r="T24" i="55" s="1"/>
  <c r="L24" i="55"/>
  <c r="S24" i="55" s="1"/>
  <c r="K24" i="55"/>
  <c r="J24" i="55"/>
  <c r="AJ23" i="55"/>
  <c r="AD23" i="55"/>
  <c r="Z23" i="55"/>
  <c r="R23" i="55"/>
  <c r="P23" i="55"/>
  <c r="AB23" i="55" s="1"/>
  <c r="N23" i="55"/>
  <c r="M23" i="55"/>
  <c r="V23" i="55" s="1"/>
  <c r="AH23" i="55" s="1"/>
  <c r="L23" i="55"/>
  <c r="S23" i="55" s="1"/>
  <c r="K23" i="55"/>
  <c r="J23" i="55"/>
  <c r="AJ22" i="55"/>
  <c r="AD22" i="55"/>
  <c r="Z22" i="55"/>
  <c r="R22" i="55"/>
  <c r="P22" i="55"/>
  <c r="AB22" i="55" s="1"/>
  <c r="N22" i="55"/>
  <c r="M22" i="55"/>
  <c r="V22" i="55" s="1"/>
  <c r="AH22" i="55" s="1"/>
  <c r="L22" i="55"/>
  <c r="S22" i="55" s="1"/>
  <c r="K22" i="55"/>
  <c r="J22" i="55"/>
  <c r="AJ21" i="55"/>
  <c r="AD21" i="55"/>
  <c r="Z21" i="55"/>
  <c r="R21" i="55"/>
  <c r="P21" i="55"/>
  <c r="AA21" i="55" s="1"/>
  <c r="N21" i="55"/>
  <c r="M21" i="55"/>
  <c r="L21" i="55"/>
  <c r="S21" i="55" s="1"/>
  <c r="K21" i="55"/>
  <c r="J21" i="55"/>
  <c r="AJ20" i="55"/>
  <c r="AD20" i="55"/>
  <c r="Z20" i="55"/>
  <c r="R20" i="55"/>
  <c r="P20" i="55"/>
  <c r="X20" i="55" s="1"/>
  <c r="N20" i="55"/>
  <c r="M20" i="55"/>
  <c r="T20" i="55" s="1"/>
  <c r="L20" i="55"/>
  <c r="S20" i="55" s="1"/>
  <c r="K20" i="55"/>
  <c r="J20" i="55"/>
  <c r="AJ19" i="55"/>
  <c r="AD19" i="55"/>
  <c r="Z19" i="55"/>
  <c r="R19" i="55"/>
  <c r="P19" i="55"/>
  <c r="AA19" i="55" s="1"/>
  <c r="N19" i="55"/>
  <c r="M19" i="55"/>
  <c r="L19" i="55"/>
  <c r="S19" i="55" s="1"/>
  <c r="K19" i="55"/>
  <c r="J19" i="55"/>
  <c r="AJ18" i="55"/>
  <c r="AD18" i="55"/>
  <c r="Z18" i="55"/>
  <c r="R18" i="55"/>
  <c r="P18" i="55"/>
  <c r="AB18" i="55" s="1"/>
  <c r="N18" i="55"/>
  <c r="M18" i="55"/>
  <c r="V18" i="55" s="1"/>
  <c r="AH18" i="55" s="1"/>
  <c r="L18" i="55"/>
  <c r="S18" i="55" s="1"/>
  <c r="K18" i="55"/>
  <c r="J18" i="55"/>
  <c r="AJ17" i="55"/>
  <c r="AD17" i="55"/>
  <c r="Z17" i="55"/>
  <c r="R17" i="55"/>
  <c r="P17" i="55"/>
  <c r="AB17" i="55" s="1"/>
  <c r="N17" i="55"/>
  <c r="M17" i="55"/>
  <c r="L17" i="55"/>
  <c r="S17" i="55" s="1"/>
  <c r="K17" i="55"/>
  <c r="J17" i="55"/>
  <c r="AJ16" i="55"/>
  <c r="AD16" i="55"/>
  <c r="Z16" i="55"/>
  <c r="R16" i="55"/>
  <c r="P16" i="55"/>
  <c r="Y16" i="55" s="1"/>
  <c r="N16" i="55"/>
  <c r="M16" i="55"/>
  <c r="T16" i="55" s="1"/>
  <c r="L16" i="55"/>
  <c r="S16" i="55" s="1"/>
  <c r="K16" i="55"/>
  <c r="J16" i="55"/>
  <c r="AJ15" i="55"/>
  <c r="AD15" i="55"/>
  <c r="Z15" i="55"/>
  <c r="R15" i="55"/>
  <c r="P15" i="55"/>
  <c r="AB15" i="55" s="1"/>
  <c r="N15" i="55"/>
  <c r="M15" i="55"/>
  <c r="T15" i="55" s="1"/>
  <c r="L15" i="55"/>
  <c r="S15" i="55" s="1"/>
  <c r="K15" i="55"/>
  <c r="J15" i="55"/>
  <c r="AJ14" i="55"/>
  <c r="AD14" i="55"/>
  <c r="Z14" i="55"/>
  <c r="R14" i="55"/>
  <c r="P14" i="55"/>
  <c r="AA14" i="55" s="1"/>
  <c r="N14" i="55"/>
  <c r="M14" i="55"/>
  <c r="V14" i="55" s="1"/>
  <c r="AH14" i="55" s="1"/>
  <c r="L14" i="55"/>
  <c r="S14" i="55" s="1"/>
  <c r="K14" i="55"/>
  <c r="J14" i="55"/>
  <c r="AJ13" i="55"/>
  <c r="AD13" i="55"/>
  <c r="Z13" i="55"/>
  <c r="R13" i="55"/>
  <c r="P13" i="55"/>
  <c r="W13" i="55" s="1"/>
  <c r="N13" i="55"/>
  <c r="M13" i="55"/>
  <c r="V13" i="55" s="1"/>
  <c r="AH13" i="55" s="1"/>
  <c r="L13" i="55"/>
  <c r="S13" i="55" s="1"/>
  <c r="K13" i="55"/>
  <c r="J13" i="55"/>
  <c r="AJ12" i="55"/>
  <c r="AD12" i="55"/>
  <c r="Z12" i="55"/>
  <c r="R12" i="55"/>
  <c r="P12" i="55"/>
  <c r="X12" i="55" s="1"/>
  <c r="N12" i="55"/>
  <c r="M12" i="55"/>
  <c r="T12" i="55" s="1"/>
  <c r="L12" i="55"/>
  <c r="S12" i="55" s="1"/>
  <c r="K12" i="55"/>
  <c r="J12" i="55"/>
  <c r="AJ11" i="55"/>
  <c r="Z11" i="55"/>
  <c r="R11" i="55"/>
  <c r="P11" i="55"/>
  <c r="AA11" i="55" s="1"/>
  <c r="L11" i="55"/>
  <c r="S11" i="55" s="1"/>
  <c r="K10" i="55"/>
  <c r="Q9" i="55"/>
  <c r="N9" i="55"/>
  <c r="M9" i="55"/>
  <c r="K9" i="55"/>
  <c r="J9" i="55"/>
  <c r="I9" i="55"/>
  <c r="H9" i="55"/>
  <c r="G9" i="55"/>
  <c r="F9" i="55"/>
  <c r="E9" i="55"/>
  <c r="D9" i="55"/>
  <c r="C9" i="55"/>
  <c r="Q7" i="55"/>
  <c r="AG24" i="55" s="1"/>
  <c r="F7" i="55"/>
  <c r="B7" i="55"/>
  <c r="A51" i="53"/>
  <c r="A50" i="53"/>
  <c r="A49" i="53"/>
  <c r="L47" i="53"/>
  <c r="F47" i="53"/>
  <c r="A47" i="53"/>
  <c r="L45" i="53"/>
  <c r="L44" i="53"/>
  <c r="L43" i="53"/>
  <c r="L42" i="53"/>
  <c r="L41" i="53"/>
  <c r="K41" i="53"/>
  <c r="L40" i="53"/>
  <c r="K40" i="53"/>
  <c r="L39" i="53"/>
  <c r="K39" i="53"/>
  <c r="L38" i="53"/>
  <c r="K38" i="53"/>
  <c r="L37" i="53"/>
  <c r="K37" i="53"/>
  <c r="J37" i="53"/>
  <c r="L36" i="53"/>
  <c r="K36" i="53"/>
  <c r="J36" i="53"/>
  <c r="L35" i="53"/>
  <c r="K35" i="53"/>
  <c r="J35" i="53"/>
  <c r="L34" i="53"/>
  <c r="K34" i="53"/>
  <c r="J34" i="53"/>
  <c r="L33" i="53"/>
  <c r="K33" i="53"/>
  <c r="J33" i="53"/>
  <c r="I33" i="53"/>
  <c r="L32" i="53"/>
  <c r="K32" i="53"/>
  <c r="J32" i="53"/>
  <c r="I32" i="53"/>
  <c r="L31" i="53"/>
  <c r="K31" i="53"/>
  <c r="J31" i="53"/>
  <c r="I31" i="53"/>
  <c r="L30" i="53"/>
  <c r="K30" i="53"/>
  <c r="J30" i="53"/>
  <c r="I30" i="53"/>
  <c r="L29" i="53"/>
  <c r="K29" i="53"/>
  <c r="J29" i="53"/>
  <c r="I29" i="53"/>
  <c r="H29" i="53"/>
  <c r="L28" i="53"/>
  <c r="K28" i="53"/>
  <c r="J28" i="53"/>
  <c r="I28" i="53"/>
  <c r="H28" i="53"/>
  <c r="L27" i="53"/>
  <c r="K27" i="53"/>
  <c r="J27" i="53"/>
  <c r="I27" i="53"/>
  <c r="H27" i="53"/>
  <c r="L26" i="53"/>
  <c r="K26" i="53"/>
  <c r="J26" i="53"/>
  <c r="I26" i="53"/>
  <c r="H26" i="53"/>
  <c r="L25" i="53"/>
  <c r="K25" i="53"/>
  <c r="J25" i="53"/>
  <c r="I25" i="53"/>
  <c r="H25" i="53"/>
  <c r="G25" i="53"/>
  <c r="L24" i="53"/>
  <c r="K24" i="53"/>
  <c r="J24" i="53"/>
  <c r="I24" i="53"/>
  <c r="H24" i="53"/>
  <c r="G24" i="53"/>
  <c r="L23" i="53"/>
  <c r="K23" i="53"/>
  <c r="J23" i="53"/>
  <c r="I23" i="53"/>
  <c r="H23" i="53"/>
  <c r="G23" i="53"/>
  <c r="L22" i="53"/>
  <c r="K22" i="53"/>
  <c r="J22" i="53"/>
  <c r="I22" i="53"/>
  <c r="H22" i="53"/>
  <c r="G22" i="53"/>
  <c r="L21" i="53"/>
  <c r="K21" i="53"/>
  <c r="J21" i="53"/>
  <c r="I21" i="53"/>
  <c r="H21" i="53"/>
  <c r="G21" i="53"/>
  <c r="F21" i="53"/>
  <c r="L20" i="53"/>
  <c r="K20" i="53"/>
  <c r="J20" i="53"/>
  <c r="I20" i="53"/>
  <c r="H20" i="53"/>
  <c r="G20" i="53"/>
  <c r="F20" i="53"/>
  <c r="L19" i="53"/>
  <c r="K19" i="53"/>
  <c r="J19" i="53"/>
  <c r="I19" i="53"/>
  <c r="H19" i="53"/>
  <c r="G19" i="53"/>
  <c r="F19" i="53"/>
  <c r="L18" i="53"/>
  <c r="K18" i="53"/>
  <c r="J18" i="53"/>
  <c r="I18" i="53"/>
  <c r="H18" i="53"/>
  <c r="G18" i="53"/>
  <c r="F18" i="53"/>
  <c r="L17" i="53"/>
  <c r="K17" i="53"/>
  <c r="J17" i="53"/>
  <c r="I17" i="53"/>
  <c r="H17" i="53"/>
  <c r="G17" i="53"/>
  <c r="F17" i="53"/>
  <c r="E17" i="53"/>
  <c r="L16" i="53"/>
  <c r="K16" i="53"/>
  <c r="J16" i="53"/>
  <c r="I16" i="53"/>
  <c r="H16" i="53"/>
  <c r="G16" i="53"/>
  <c r="F16" i="53"/>
  <c r="E16" i="53"/>
  <c r="L15" i="53"/>
  <c r="K15" i="53"/>
  <c r="J15" i="53"/>
  <c r="I15" i="53"/>
  <c r="H15" i="53"/>
  <c r="G15" i="53"/>
  <c r="F15" i="53"/>
  <c r="E15" i="53"/>
  <c r="L14" i="53"/>
  <c r="K14" i="53"/>
  <c r="J14" i="53"/>
  <c r="I14" i="53"/>
  <c r="H14" i="53"/>
  <c r="G14" i="53"/>
  <c r="F14" i="53"/>
  <c r="E14" i="53"/>
  <c r="K13" i="53"/>
  <c r="J13" i="53"/>
  <c r="I13" i="53"/>
  <c r="H13" i="53"/>
  <c r="G13" i="53"/>
  <c r="F13" i="53"/>
  <c r="E13" i="53"/>
  <c r="D13" i="53"/>
  <c r="K12" i="53"/>
  <c r="J12" i="53"/>
  <c r="I12" i="53"/>
  <c r="H12" i="53"/>
  <c r="G12" i="53"/>
  <c r="F12" i="53"/>
  <c r="E12" i="53"/>
  <c r="D12" i="53"/>
  <c r="K11" i="53"/>
  <c r="J11" i="53"/>
  <c r="I11" i="53"/>
  <c r="H11" i="53"/>
  <c r="G11" i="53"/>
  <c r="F11" i="53"/>
  <c r="E11" i="53"/>
  <c r="D11" i="53"/>
  <c r="K10" i="53"/>
  <c r="J10" i="53"/>
  <c r="I10" i="53"/>
  <c r="H10" i="53"/>
  <c r="G10" i="53"/>
  <c r="F10" i="53"/>
  <c r="E10" i="53"/>
  <c r="D10" i="53"/>
  <c r="J9" i="53"/>
  <c r="I9" i="53"/>
  <c r="H9" i="53"/>
  <c r="G9" i="53"/>
  <c r="F9" i="53"/>
  <c r="E9" i="53"/>
  <c r="D9" i="53"/>
  <c r="C9" i="53"/>
  <c r="J8" i="53"/>
  <c r="I8" i="53"/>
  <c r="H8" i="53"/>
  <c r="G8" i="53"/>
  <c r="F8" i="53"/>
  <c r="E8" i="53"/>
  <c r="D8" i="53"/>
  <c r="C8" i="53"/>
  <c r="J7" i="53"/>
  <c r="I7" i="53"/>
  <c r="H7" i="53"/>
  <c r="G7" i="53"/>
  <c r="F7" i="53"/>
  <c r="E7" i="53"/>
  <c r="D7" i="53"/>
  <c r="C7" i="53"/>
  <c r="J6" i="53"/>
  <c r="I6" i="53"/>
  <c r="H6" i="53"/>
  <c r="G6" i="53"/>
  <c r="F6" i="53"/>
  <c r="E6" i="53"/>
  <c r="D6" i="53"/>
  <c r="C6" i="53"/>
  <c r="A2" i="53"/>
  <c r="A51" i="52"/>
  <c r="A50" i="52"/>
  <c r="A49" i="52"/>
  <c r="L47" i="52"/>
  <c r="F47" i="52"/>
  <c r="A47" i="52"/>
  <c r="L45" i="52"/>
  <c r="BB44" i="52"/>
  <c r="L44" i="52"/>
  <c r="AN44" i="52" s="1"/>
  <c r="BB43" i="52"/>
  <c r="L43" i="52"/>
  <c r="AN43" i="52" s="1"/>
  <c r="BB42" i="52"/>
  <c r="L42" i="52"/>
  <c r="AN42" i="52" s="1"/>
  <c r="BB41" i="52"/>
  <c r="BA41" i="52"/>
  <c r="AN41" i="52"/>
  <c r="L41" i="52"/>
  <c r="K41" i="52"/>
  <c r="AM41" i="52" s="1"/>
  <c r="BB40" i="52"/>
  <c r="BA40" i="52"/>
  <c r="L40" i="52"/>
  <c r="AN40" i="52" s="1"/>
  <c r="K40" i="52"/>
  <c r="AM40" i="52" s="1"/>
  <c r="BB39" i="52"/>
  <c r="BA39" i="52"/>
  <c r="AM39" i="52"/>
  <c r="L39" i="52"/>
  <c r="AN39" i="52" s="1"/>
  <c r="K39" i="52"/>
  <c r="BB38" i="52"/>
  <c r="BA38" i="52"/>
  <c r="AN38" i="52"/>
  <c r="L38" i="52"/>
  <c r="K38" i="52"/>
  <c r="AM38" i="52" s="1"/>
  <c r="BB37" i="52"/>
  <c r="BA37" i="52"/>
  <c r="AZ37" i="52"/>
  <c r="L37" i="52"/>
  <c r="AN37" i="52" s="1"/>
  <c r="K37" i="52"/>
  <c r="AM37" i="52" s="1"/>
  <c r="J37" i="52"/>
  <c r="AL37" i="52" s="1"/>
  <c r="BB36" i="52"/>
  <c r="BA36" i="52"/>
  <c r="AZ36" i="52"/>
  <c r="AM36" i="52"/>
  <c r="AL36" i="52"/>
  <c r="L36" i="52"/>
  <c r="AN36" i="52" s="1"/>
  <c r="K36" i="52"/>
  <c r="J36" i="52"/>
  <c r="BB35" i="52"/>
  <c r="BA35" i="52"/>
  <c r="AZ35" i="52"/>
  <c r="AM35" i="52"/>
  <c r="AL35" i="52"/>
  <c r="L35" i="52"/>
  <c r="AN35" i="52" s="1"/>
  <c r="K35" i="52"/>
  <c r="J35" i="52"/>
  <c r="BB34" i="52"/>
  <c r="BA34" i="52"/>
  <c r="AZ34" i="52"/>
  <c r="AM34" i="52"/>
  <c r="L34" i="52"/>
  <c r="AN34" i="52" s="1"/>
  <c r="K34" i="52"/>
  <c r="J34" i="52"/>
  <c r="AL34" i="52" s="1"/>
  <c r="BB33" i="52"/>
  <c r="BA33" i="52"/>
  <c r="AZ33" i="52"/>
  <c r="AY33" i="52"/>
  <c r="AN33" i="52"/>
  <c r="AM33" i="52"/>
  <c r="AL33" i="52"/>
  <c r="L33" i="52"/>
  <c r="K33" i="52"/>
  <c r="J33" i="52"/>
  <c r="I33" i="52"/>
  <c r="AK33" i="52" s="1"/>
  <c r="BB32" i="52"/>
  <c r="BA32" i="52"/>
  <c r="AZ32" i="52"/>
  <c r="AY32" i="52"/>
  <c r="AM32" i="52"/>
  <c r="AL32" i="52"/>
  <c r="AK32" i="52"/>
  <c r="L32" i="52"/>
  <c r="AN32" i="52" s="1"/>
  <c r="K32" i="52"/>
  <c r="J32" i="52"/>
  <c r="I32" i="52"/>
  <c r="BB31" i="52"/>
  <c r="BA31" i="52"/>
  <c r="AZ31" i="52"/>
  <c r="AY31" i="52"/>
  <c r="L31" i="52"/>
  <c r="AN31" i="52" s="1"/>
  <c r="K31" i="52"/>
  <c r="AM31" i="52" s="1"/>
  <c r="J31" i="52"/>
  <c r="AL31" i="52" s="1"/>
  <c r="I31" i="52"/>
  <c r="AK31" i="52" s="1"/>
  <c r="BB30" i="52"/>
  <c r="BA30" i="52"/>
  <c r="AZ30" i="52"/>
  <c r="AY30" i="52"/>
  <c r="AN30" i="52"/>
  <c r="AM30" i="52"/>
  <c r="AK30" i="52"/>
  <c r="L30" i="52"/>
  <c r="K30" i="52"/>
  <c r="J30" i="52"/>
  <c r="AL30" i="52" s="1"/>
  <c r="I30" i="52"/>
  <c r="BB29" i="52"/>
  <c r="BA29" i="52"/>
  <c r="AZ29" i="52"/>
  <c r="AY29" i="52"/>
  <c r="AX29" i="52"/>
  <c r="AN29" i="52"/>
  <c r="L29" i="52"/>
  <c r="K29" i="52"/>
  <c r="AM29" i="52" s="1"/>
  <c r="J29" i="52"/>
  <c r="AL29" i="52" s="1"/>
  <c r="I29" i="52"/>
  <c r="AK29" i="52" s="1"/>
  <c r="H29" i="52"/>
  <c r="AJ29" i="52" s="1"/>
  <c r="BB28" i="52"/>
  <c r="BA28" i="52"/>
  <c r="AZ28" i="52"/>
  <c r="AY28" i="52"/>
  <c r="AX28" i="52"/>
  <c r="AN28" i="52"/>
  <c r="AM28" i="52"/>
  <c r="L28" i="52"/>
  <c r="K28" i="52"/>
  <c r="J28" i="52"/>
  <c r="AL28" i="52" s="1"/>
  <c r="I28" i="52"/>
  <c r="AK28" i="52" s="1"/>
  <c r="H28" i="52"/>
  <c r="AJ28" i="52" s="1"/>
  <c r="BB27" i="52"/>
  <c r="BA27" i="52"/>
  <c r="AZ27" i="52"/>
  <c r="AY27" i="52"/>
  <c r="AX27" i="52"/>
  <c r="AN27" i="52"/>
  <c r="AM27" i="52"/>
  <c r="AL27" i="52"/>
  <c r="L27" i="52"/>
  <c r="K27" i="52"/>
  <c r="J27" i="52"/>
  <c r="I27" i="52"/>
  <c r="AK27" i="52" s="1"/>
  <c r="H27" i="52"/>
  <c r="AJ27" i="52" s="1"/>
  <c r="BB26" i="52"/>
  <c r="BA26" i="52"/>
  <c r="AZ26" i="52"/>
  <c r="AY26" i="52"/>
  <c r="AX26" i="52"/>
  <c r="AN26" i="52"/>
  <c r="AM26" i="52"/>
  <c r="AL26" i="52"/>
  <c r="AK26" i="52"/>
  <c r="L26" i="52"/>
  <c r="K26" i="52"/>
  <c r="J26" i="52"/>
  <c r="I26" i="52"/>
  <c r="H26" i="52"/>
  <c r="AJ26" i="52" s="1"/>
  <c r="BB25" i="52"/>
  <c r="BA25" i="52"/>
  <c r="AZ25" i="52"/>
  <c r="AY25" i="52"/>
  <c r="AX25" i="52"/>
  <c r="AW25" i="52"/>
  <c r="AN25" i="52"/>
  <c r="AM25" i="52"/>
  <c r="AL25" i="52"/>
  <c r="AJ25" i="52"/>
  <c r="L25" i="52"/>
  <c r="K25" i="52"/>
  <c r="J25" i="52"/>
  <c r="I25" i="52"/>
  <c r="AK25" i="52" s="1"/>
  <c r="H25" i="52"/>
  <c r="G25" i="52"/>
  <c r="AI25" i="52" s="1"/>
  <c r="BB24" i="52"/>
  <c r="BA24" i="52"/>
  <c r="AZ24" i="52"/>
  <c r="AY24" i="52"/>
  <c r="AX24" i="52"/>
  <c r="AW24" i="52"/>
  <c r="AN24" i="52"/>
  <c r="AL24" i="52"/>
  <c r="L24" i="52"/>
  <c r="K24" i="52"/>
  <c r="AM24" i="52" s="1"/>
  <c r="J24" i="52"/>
  <c r="I24" i="52"/>
  <c r="AK24" i="52" s="1"/>
  <c r="H24" i="52"/>
  <c r="AJ24" i="52" s="1"/>
  <c r="G24" i="52"/>
  <c r="AI24" i="52" s="1"/>
  <c r="BB23" i="52"/>
  <c r="BA23" i="52"/>
  <c r="AZ23" i="52"/>
  <c r="AY23" i="52"/>
  <c r="AX23" i="52"/>
  <c r="AW23" i="52"/>
  <c r="AN23" i="52"/>
  <c r="AI23" i="52"/>
  <c r="L23" i="52"/>
  <c r="K23" i="52"/>
  <c r="AM23" i="52" s="1"/>
  <c r="J23" i="52"/>
  <c r="AL23" i="52" s="1"/>
  <c r="I23" i="52"/>
  <c r="AK23" i="52" s="1"/>
  <c r="H23" i="52"/>
  <c r="AJ23" i="52" s="1"/>
  <c r="G23" i="52"/>
  <c r="BB22" i="52"/>
  <c r="BA22" i="52"/>
  <c r="AZ22" i="52"/>
  <c r="AY22" i="52"/>
  <c r="AX22" i="52"/>
  <c r="AW22" i="52"/>
  <c r="AK22" i="52"/>
  <c r="L22" i="52"/>
  <c r="AN22" i="52" s="1"/>
  <c r="K22" i="52"/>
  <c r="AM22" i="52" s="1"/>
  <c r="J22" i="52"/>
  <c r="AL22" i="52" s="1"/>
  <c r="I22" i="52"/>
  <c r="H22" i="52"/>
  <c r="AJ22" i="52" s="1"/>
  <c r="G22" i="52"/>
  <c r="AI22" i="52" s="1"/>
  <c r="BB21" i="52"/>
  <c r="BA21" i="52"/>
  <c r="AZ21" i="52"/>
  <c r="AY21" i="52"/>
  <c r="AX21" i="52"/>
  <c r="AW21" i="52"/>
  <c r="AV21" i="52"/>
  <c r="AN21" i="52"/>
  <c r="AK21" i="52"/>
  <c r="AI21" i="52"/>
  <c r="AH21" i="52"/>
  <c r="L21" i="52"/>
  <c r="K21" i="52"/>
  <c r="AM21" i="52" s="1"/>
  <c r="J21" i="52"/>
  <c r="AL21" i="52" s="1"/>
  <c r="I21" i="52"/>
  <c r="H21" i="52"/>
  <c r="AJ21" i="52" s="1"/>
  <c r="G21" i="52"/>
  <c r="F21" i="52"/>
  <c r="BB20" i="52"/>
  <c r="BA20" i="52"/>
  <c r="AZ20" i="52"/>
  <c r="AY20" i="52"/>
  <c r="AX20" i="52"/>
  <c r="AW20" i="52"/>
  <c r="AV20" i="52"/>
  <c r="AN20" i="52"/>
  <c r="AM20" i="52"/>
  <c r="AL20" i="52"/>
  <c r="AK20" i="52"/>
  <c r="AI20" i="52"/>
  <c r="AH20" i="52"/>
  <c r="L20" i="52"/>
  <c r="K20" i="52"/>
  <c r="J20" i="52"/>
  <c r="I20" i="52"/>
  <c r="H20" i="52"/>
  <c r="AJ20" i="52" s="1"/>
  <c r="G20" i="52"/>
  <c r="F20" i="52"/>
  <c r="BB19" i="52"/>
  <c r="BA19" i="52"/>
  <c r="AZ19" i="52"/>
  <c r="AY19" i="52"/>
  <c r="AX19" i="52"/>
  <c r="AW19" i="52"/>
  <c r="AV19" i="52"/>
  <c r="AN19" i="52"/>
  <c r="AM19" i="52"/>
  <c r="AH19" i="52"/>
  <c r="L19" i="52"/>
  <c r="K19" i="52"/>
  <c r="J19" i="52"/>
  <c r="AL19" i="52" s="1"/>
  <c r="I19" i="52"/>
  <c r="AK19" i="52" s="1"/>
  <c r="H19" i="52"/>
  <c r="AJ19" i="52" s="1"/>
  <c r="G19" i="52"/>
  <c r="AI19" i="52" s="1"/>
  <c r="F19" i="52"/>
  <c r="BB18" i="52"/>
  <c r="BA18" i="52"/>
  <c r="AZ18" i="52"/>
  <c r="AY18" i="52"/>
  <c r="AX18" i="52"/>
  <c r="AW18" i="52"/>
  <c r="AV18" i="52"/>
  <c r="AM18" i="52"/>
  <c r="AJ18" i="52"/>
  <c r="AH18" i="52"/>
  <c r="L18" i="52"/>
  <c r="AN18" i="52" s="1"/>
  <c r="K18" i="52"/>
  <c r="J18" i="52"/>
  <c r="AL18" i="52" s="1"/>
  <c r="I18" i="52"/>
  <c r="AK18" i="52" s="1"/>
  <c r="H18" i="52"/>
  <c r="G18" i="52"/>
  <c r="AI18" i="52" s="1"/>
  <c r="F18" i="52"/>
  <c r="BB17" i="52"/>
  <c r="BA17" i="52"/>
  <c r="AZ17" i="52"/>
  <c r="AY17" i="52"/>
  <c r="AX17" i="52"/>
  <c r="AW17" i="52"/>
  <c r="AV17" i="52"/>
  <c r="AU17" i="52"/>
  <c r="AN17" i="52"/>
  <c r="AM17" i="52"/>
  <c r="AL17" i="52"/>
  <c r="AJ17" i="52"/>
  <c r="AI17" i="52"/>
  <c r="L17" i="52"/>
  <c r="K17" i="52"/>
  <c r="J17" i="52"/>
  <c r="I17" i="52"/>
  <c r="AK17" i="52" s="1"/>
  <c r="H17" i="52"/>
  <c r="G17" i="52"/>
  <c r="F17" i="52"/>
  <c r="AH17" i="52" s="1"/>
  <c r="E17" i="52"/>
  <c r="AG17" i="52" s="1"/>
  <c r="BB16" i="52"/>
  <c r="BA16" i="52"/>
  <c r="AZ16" i="52"/>
  <c r="AY16" i="52"/>
  <c r="AX16" i="52"/>
  <c r="AW16" i="52"/>
  <c r="AV16" i="52"/>
  <c r="AU16" i="52"/>
  <c r="AK16" i="52"/>
  <c r="AH16" i="52"/>
  <c r="AG16" i="52"/>
  <c r="L16" i="52"/>
  <c r="AN16" i="52" s="1"/>
  <c r="K16" i="52"/>
  <c r="AM16" i="52" s="1"/>
  <c r="J16" i="52"/>
  <c r="AL16" i="52" s="1"/>
  <c r="I16" i="52"/>
  <c r="H16" i="52"/>
  <c r="AJ16" i="52" s="1"/>
  <c r="G16" i="52"/>
  <c r="AI16" i="52" s="1"/>
  <c r="F16" i="52"/>
  <c r="E16" i="52"/>
  <c r="BB15" i="52"/>
  <c r="BA15" i="52"/>
  <c r="AZ15" i="52"/>
  <c r="AY15" i="52"/>
  <c r="AX15" i="52"/>
  <c r="AW15" i="52"/>
  <c r="AV15" i="52"/>
  <c r="AU15" i="52"/>
  <c r="AN15" i="52"/>
  <c r="AM15" i="52"/>
  <c r="AL15" i="52"/>
  <c r="AJ15" i="52"/>
  <c r="AI15" i="52"/>
  <c r="L15" i="52"/>
  <c r="K15" i="52"/>
  <c r="J15" i="52"/>
  <c r="I15" i="52"/>
  <c r="AK15" i="52" s="1"/>
  <c r="H15" i="52"/>
  <c r="G15" i="52"/>
  <c r="F15" i="52"/>
  <c r="AH15" i="52" s="1"/>
  <c r="E15" i="52"/>
  <c r="AG15" i="52" s="1"/>
  <c r="BB14" i="52"/>
  <c r="BA14" i="52"/>
  <c r="AZ14" i="52"/>
  <c r="AY14" i="52"/>
  <c r="AX14" i="52"/>
  <c r="AW14" i="52"/>
  <c r="AV14" i="52"/>
  <c r="AU14" i="52"/>
  <c r="AK14" i="52"/>
  <c r="AH14" i="52"/>
  <c r="AG14" i="52"/>
  <c r="L14" i="52"/>
  <c r="AN14" i="52" s="1"/>
  <c r="K14" i="52"/>
  <c r="AM14" i="52" s="1"/>
  <c r="J14" i="52"/>
  <c r="AL14" i="52" s="1"/>
  <c r="I14" i="52"/>
  <c r="H14" i="52"/>
  <c r="AJ14" i="52" s="1"/>
  <c r="G14" i="52"/>
  <c r="AI14" i="52" s="1"/>
  <c r="F14" i="52"/>
  <c r="E14" i="52"/>
  <c r="BA13" i="52"/>
  <c r="AZ13" i="52"/>
  <c r="AY13" i="52"/>
  <c r="AX13" i="52"/>
  <c r="AW13" i="52"/>
  <c r="AV13" i="52"/>
  <c r="AU13" i="52"/>
  <c r="AT13" i="52"/>
  <c r="AM13" i="52"/>
  <c r="AL13" i="52"/>
  <c r="AK13" i="52"/>
  <c r="AI13" i="52"/>
  <c r="AH13" i="52"/>
  <c r="K13" i="52"/>
  <c r="J13" i="52"/>
  <c r="I13" i="52"/>
  <c r="H13" i="52"/>
  <c r="AJ13" i="52" s="1"/>
  <c r="G13" i="52"/>
  <c r="F13" i="52"/>
  <c r="E13" i="52"/>
  <c r="AG13" i="52" s="1"/>
  <c r="D13" i="52"/>
  <c r="AF13" i="52" s="1"/>
  <c r="BA12" i="52"/>
  <c r="AZ12" i="52"/>
  <c r="AY12" i="52"/>
  <c r="AX12" i="52"/>
  <c r="AW12" i="52"/>
  <c r="AV12" i="52"/>
  <c r="AU12" i="52"/>
  <c r="AT12" i="52"/>
  <c r="AJ12" i="52"/>
  <c r="AG12" i="52"/>
  <c r="AF12" i="52"/>
  <c r="K12" i="52"/>
  <c r="AM12" i="52" s="1"/>
  <c r="J12" i="52"/>
  <c r="AL12" i="52" s="1"/>
  <c r="I12" i="52"/>
  <c r="AK12" i="52" s="1"/>
  <c r="H12" i="52"/>
  <c r="G12" i="52"/>
  <c r="AI12" i="52" s="1"/>
  <c r="F12" i="52"/>
  <c r="AH12" i="52" s="1"/>
  <c r="E12" i="52"/>
  <c r="D12" i="52"/>
  <c r="BA11" i="52"/>
  <c r="AZ11" i="52"/>
  <c r="AY11" i="52"/>
  <c r="AX11" i="52"/>
  <c r="AW11" i="52"/>
  <c r="AV11" i="52"/>
  <c r="AU11" i="52"/>
  <c r="AT11" i="52"/>
  <c r="AM11" i="52"/>
  <c r="AL11" i="52"/>
  <c r="AK11" i="52"/>
  <c r="AI11" i="52"/>
  <c r="AH11" i="52"/>
  <c r="K11" i="52"/>
  <c r="J11" i="52"/>
  <c r="I11" i="52"/>
  <c r="H11" i="52"/>
  <c r="AJ11" i="52" s="1"/>
  <c r="G11" i="52"/>
  <c r="F11" i="52"/>
  <c r="E11" i="52"/>
  <c r="AG11" i="52" s="1"/>
  <c r="D11" i="52"/>
  <c r="AF11" i="52" s="1"/>
  <c r="BA10" i="52"/>
  <c r="AZ10" i="52"/>
  <c r="AY10" i="52"/>
  <c r="AX10" i="52"/>
  <c r="AW10" i="52"/>
  <c r="AV10" i="52"/>
  <c r="AU10" i="52"/>
  <c r="AT10" i="52"/>
  <c r="AJ10" i="52"/>
  <c r="AG10" i="52"/>
  <c r="AF10" i="52"/>
  <c r="K10" i="52"/>
  <c r="AM10" i="52" s="1"/>
  <c r="J10" i="52"/>
  <c r="AL10" i="52" s="1"/>
  <c r="I10" i="52"/>
  <c r="AK10" i="52" s="1"/>
  <c r="H10" i="52"/>
  <c r="G10" i="52"/>
  <c r="AI10" i="52" s="1"/>
  <c r="F10" i="52"/>
  <c r="AH10" i="52" s="1"/>
  <c r="E10" i="52"/>
  <c r="D10" i="52"/>
  <c r="AZ9" i="52"/>
  <c r="AY9" i="52"/>
  <c r="AX9" i="52"/>
  <c r="AW9" i="52"/>
  <c r="AV9" i="52"/>
  <c r="AU9" i="52"/>
  <c r="AT9" i="52"/>
  <c r="AS9" i="52"/>
  <c r="AL9" i="52"/>
  <c r="AK9" i="52"/>
  <c r="AJ9" i="52"/>
  <c r="AH9" i="52"/>
  <c r="AG9" i="52"/>
  <c r="J9" i="52"/>
  <c r="I9" i="52"/>
  <c r="H9" i="52"/>
  <c r="G9" i="52"/>
  <c r="AI9" i="52" s="1"/>
  <c r="F9" i="52"/>
  <c r="E9" i="52"/>
  <c r="D9" i="52"/>
  <c r="AF9" i="52" s="1"/>
  <c r="C9" i="52"/>
  <c r="AE9" i="52" s="1"/>
  <c r="AZ8" i="52"/>
  <c r="AY8" i="52"/>
  <c r="AX8" i="52"/>
  <c r="AW8" i="52"/>
  <c r="AV8" i="52"/>
  <c r="AU8" i="52"/>
  <c r="AT8" i="52"/>
  <c r="AS8" i="52"/>
  <c r="AI8" i="52"/>
  <c r="AF8" i="52"/>
  <c r="AE8" i="52"/>
  <c r="J8" i="52"/>
  <c r="AL8" i="52" s="1"/>
  <c r="I8" i="52"/>
  <c r="AK8" i="52" s="1"/>
  <c r="H8" i="52"/>
  <c r="AJ8" i="52" s="1"/>
  <c r="G8" i="52"/>
  <c r="F8" i="52"/>
  <c r="AH8" i="52" s="1"/>
  <c r="E8" i="52"/>
  <c r="AG8" i="52" s="1"/>
  <c r="D8" i="52"/>
  <c r="C8" i="52"/>
  <c r="AZ7" i="52"/>
  <c r="AY7" i="52"/>
  <c r="AX7" i="52"/>
  <c r="AW7" i="52"/>
  <c r="AV7" i="52"/>
  <c r="AU7" i="52"/>
  <c r="AT7" i="52"/>
  <c r="AS7" i="52"/>
  <c r="AL7" i="52"/>
  <c r="AK7" i="52"/>
  <c r="AJ7" i="52"/>
  <c r="AH7" i="52"/>
  <c r="AG7" i="52"/>
  <c r="J7" i="52"/>
  <c r="I7" i="52"/>
  <c r="H7" i="52"/>
  <c r="G7" i="52"/>
  <c r="AI7" i="52" s="1"/>
  <c r="F7" i="52"/>
  <c r="E7" i="52"/>
  <c r="D7" i="52"/>
  <c r="AF7" i="52" s="1"/>
  <c r="C7" i="52"/>
  <c r="AE7" i="52" s="1"/>
  <c r="AZ6" i="52"/>
  <c r="AY6" i="52"/>
  <c r="AX6" i="52"/>
  <c r="AW6" i="52"/>
  <c r="AV6" i="52"/>
  <c r="AU6" i="52"/>
  <c r="AT6" i="52"/>
  <c r="AS6" i="52"/>
  <c r="AI6" i="52"/>
  <c r="AF6" i="52"/>
  <c r="AE6" i="52"/>
  <c r="J6" i="52"/>
  <c r="AL6" i="52" s="1"/>
  <c r="I6" i="52"/>
  <c r="AK6" i="52" s="1"/>
  <c r="H6" i="52"/>
  <c r="AJ6" i="52" s="1"/>
  <c r="G6" i="52"/>
  <c r="F6" i="52"/>
  <c r="AH6" i="52" s="1"/>
  <c r="E6" i="52"/>
  <c r="AG6" i="52" s="1"/>
  <c r="D6" i="52"/>
  <c r="C6" i="52"/>
  <c r="A2" i="52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K6" i="50"/>
  <c r="K5" i="50"/>
  <c r="K4" i="50"/>
  <c r="K3" i="50"/>
  <c r="K2" i="50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K7" i="48"/>
  <c r="K6" i="48"/>
  <c r="K5" i="48"/>
  <c r="K4" i="48"/>
  <c r="K3" i="48"/>
  <c r="K2" i="48"/>
  <c r="B59" i="46"/>
  <c r="K58" i="46"/>
  <c r="B58" i="46"/>
  <c r="K55" i="46"/>
  <c r="K56" i="46" s="1"/>
  <c r="J55" i="46"/>
  <c r="J56" i="46" s="1"/>
  <c r="I55" i="46"/>
  <c r="I56" i="46" s="1"/>
  <c r="H55" i="46"/>
  <c r="H56" i="46" s="1"/>
  <c r="G55" i="46"/>
  <c r="G56" i="46" s="1"/>
  <c r="F55" i="46"/>
  <c r="F56" i="46" s="1"/>
  <c r="E55" i="46"/>
  <c r="E56" i="46" s="1"/>
  <c r="D55" i="46"/>
  <c r="D56" i="46" s="1"/>
  <c r="K53" i="46"/>
  <c r="K54" i="46" s="1"/>
  <c r="J53" i="46"/>
  <c r="J54" i="46" s="1"/>
  <c r="I53" i="46"/>
  <c r="I54" i="46" s="1"/>
  <c r="H53" i="46"/>
  <c r="H54" i="46" s="1"/>
  <c r="G53" i="46"/>
  <c r="G54" i="46" s="1"/>
  <c r="F53" i="46"/>
  <c r="F54" i="46" s="1"/>
  <c r="E53" i="46"/>
  <c r="E54" i="46" s="1"/>
  <c r="D53" i="46"/>
  <c r="D54" i="46" s="1"/>
  <c r="K51" i="46"/>
  <c r="K52" i="46" s="1"/>
  <c r="J51" i="46"/>
  <c r="J52" i="46" s="1"/>
  <c r="I51" i="46"/>
  <c r="I52" i="46" s="1"/>
  <c r="H51" i="46"/>
  <c r="H52" i="46" s="1"/>
  <c r="G51" i="46"/>
  <c r="G52" i="46" s="1"/>
  <c r="F51" i="46"/>
  <c r="F52" i="46" s="1"/>
  <c r="E51" i="46"/>
  <c r="E52" i="46" s="1"/>
  <c r="D51" i="46"/>
  <c r="D52" i="46" s="1"/>
  <c r="K49" i="46"/>
  <c r="K50" i="46" s="1"/>
  <c r="J49" i="46"/>
  <c r="J50" i="46" s="1"/>
  <c r="I49" i="46"/>
  <c r="I50" i="46" s="1"/>
  <c r="H49" i="46"/>
  <c r="H50" i="46" s="1"/>
  <c r="G49" i="46"/>
  <c r="G50" i="46" s="1"/>
  <c r="F49" i="46"/>
  <c r="F50" i="46" s="1"/>
  <c r="E49" i="46"/>
  <c r="E50" i="46" s="1"/>
  <c r="D49" i="46"/>
  <c r="D50" i="46" s="1"/>
  <c r="K47" i="46"/>
  <c r="K48" i="46" s="1"/>
  <c r="J47" i="46"/>
  <c r="J48" i="46" s="1"/>
  <c r="I47" i="46"/>
  <c r="I48" i="46" s="1"/>
  <c r="H47" i="46"/>
  <c r="H48" i="46" s="1"/>
  <c r="G47" i="46"/>
  <c r="G48" i="46" s="1"/>
  <c r="F47" i="46"/>
  <c r="F48" i="46" s="1"/>
  <c r="E47" i="46"/>
  <c r="E48" i="46" s="1"/>
  <c r="D47" i="46"/>
  <c r="D48" i="46" s="1"/>
  <c r="K45" i="46"/>
  <c r="K46" i="46" s="1"/>
  <c r="J45" i="46"/>
  <c r="J46" i="46" s="1"/>
  <c r="I45" i="46"/>
  <c r="I46" i="46" s="1"/>
  <c r="H45" i="46"/>
  <c r="H46" i="46" s="1"/>
  <c r="G45" i="46"/>
  <c r="G46" i="46" s="1"/>
  <c r="F45" i="46"/>
  <c r="F46" i="46" s="1"/>
  <c r="E45" i="46"/>
  <c r="E46" i="46" s="1"/>
  <c r="D45" i="46"/>
  <c r="D46" i="46" s="1"/>
  <c r="K43" i="46"/>
  <c r="K44" i="46" s="1"/>
  <c r="J43" i="46"/>
  <c r="J44" i="46" s="1"/>
  <c r="I43" i="46"/>
  <c r="I44" i="46" s="1"/>
  <c r="H43" i="46"/>
  <c r="H44" i="46" s="1"/>
  <c r="G43" i="46"/>
  <c r="G44" i="46" s="1"/>
  <c r="F43" i="46"/>
  <c r="F44" i="46" s="1"/>
  <c r="E43" i="46"/>
  <c r="E44" i="46" s="1"/>
  <c r="D43" i="46"/>
  <c r="D44" i="46" s="1"/>
  <c r="K41" i="46"/>
  <c r="K42" i="46" s="1"/>
  <c r="J41" i="46"/>
  <c r="J42" i="46" s="1"/>
  <c r="I41" i="46"/>
  <c r="I42" i="46" s="1"/>
  <c r="H41" i="46"/>
  <c r="H42" i="46" s="1"/>
  <c r="G41" i="46"/>
  <c r="G42" i="46" s="1"/>
  <c r="F41" i="46"/>
  <c r="F42" i="46" s="1"/>
  <c r="E41" i="46"/>
  <c r="E42" i="46" s="1"/>
  <c r="D41" i="46"/>
  <c r="D42" i="46" s="1"/>
  <c r="K39" i="46"/>
  <c r="K40" i="46" s="1"/>
  <c r="J39" i="46"/>
  <c r="J40" i="46" s="1"/>
  <c r="I39" i="46"/>
  <c r="I40" i="46" s="1"/>
  <c r="H39" i="46"/>
  <c r="H40" i="46" s="1"/>
  <c r="G39" i="46"/>
  <c r="G40" i="46" s="1"/>
  <c r="F39" i="46"/>
  <c r="F40" i="46" s="1"/>
  <c r="E39" i="46"/>
  <c r="E40" i="46" s="1"/>
  <c r="D39" i="46"/>
  <c r="D40" i="46" s="1"/>
  <c r="K37" i="46"/>
  <c r="K38" i="46" s="1"/>
  <c r="J37" i="46"/>
  <c r="J38" i="46" s="1"/>
  <c r="I37" i="46"/>
  <c r="I38" i="46" s="1"/>
  <c r="H37" i="46"/>
  <c r="H38" i="46" s="1"/>
  <c r="G37" i="46"/>
  <c r="G38" i="46" s="1"/>
  <c r="F37" i="46"/>
  <c r="F38" i="46" s="1"/>
  <c r="E37" i="46"/>
  <c r="E38" i="46" s="1"/>
  <c r="D37" i="46"/>
  <c r="D38" i="46" s="1"/>
  <c r="K35" i="46"/>
  <c r="K36" i="46" s="1"/>
  <c r="J35" i="46"/>
  <c r="J36" i="46" s="1"/>
  <c r="I35" i="46"/>
  <c r="I36" i="46" s="1"/>
  <c r="H35" i="46"/>
  <c r="H36" i="46" s="1"/>
  <c r="G35" i="46"/>
  <c r="G36" i="46" s="1"/>
  <c r="F35" i="46"/>
  <c r="F36" i="46" s="1"/>
  <c r="E35" i="46"/>
  <c r="E36" i="46" s="1"/>
  <c r="D35" i="46"/>
  <c r="D36" i="46" s="1"/>
  <c r="K33" i="46"/>
  <c r="K34" i="46" s="1"/>
  <c r="J33" i="46"/>
  <c r="J34" i="46" s="1"/>
  <c r="I33" i="46"/>
  <c r="I34" i="46" s="1"/>
  <c r="H33" i="46"/>
  <c r="H34" i="46" s="1"/>
  <c r="G33" i="46"/>
  <c r="G34" i="46" s="1"/>
  <c r="F33" i="46"/>
  <c r="F34" i="46" s="1"/>
  <c r="E33" i="46"/>
  <c r="E34" i="46" s="1"/>
  <c r="D33" i="46"/>
  <c r="D34" i="46" s="1"/>
  <c r="K31" i="46"/>
  <c r="K32" i="46" s="1"/>
  <c r="J31" i="46"/>
  <c r="J32" i="46" s="1"/>
  <c r="I31" i="46"/>
  <c r="I32" i="46" s="1"/>
  <c r="H31" i="46"/>
  <c r="H32" i="46" s="1"/>
  <c r="G31" i="46"/>
  <c r="G32" i="46" s="1"/>
  <c r="F31" i="46"/>
  <c r="F32" i="46" s="1"/>
  <c r="E31" i="46"/>
  <c r="E32" i="46" s="1"/>
  <c r="D31" i="46"/>
  <c r="D32" i="46" s="1"/>
  <c r="K29" i="46"/>
  <c r="K30" i="46" s="1"/>
  <c r="J29" i="46"/>
  <c r="J30" i="46" s="1"/>
  <c r="I29" i="46"/>
  <c r="I30" i="46" s="1"/>
  <c r="H29" i="46"/>
  <c r="H30" i="46" s="1"/>
  <c r="G29" i="46"/>
  <c r="G30" i="46" s="1"/>
  <c r="F29" i="46"/>
  <c r="F30" i="46" s="1"/>
  <c r="E29" i="46"/>
  <c r="E30" i="46" s="1"/>
  <c r="D29" i="46"/>
  <c r="D30" i="46" s="1"/>
  <c r="K27" i="46"/>
  <c r="K28" i="46" s="1"/>
  <c r="J27" i="46"/>
  <c r="J28" i="46" s="1"/>
  <c r="I27" i="46"/>
  <c r="I28" i="46" s="1"/>
  <c r="H27" i="46"/>
  <c r="H28" i="46" s="1"/>
  <c r="G27" i="46"/>
  <c r="G28" i="46" s="1"/>
  <c r="F27" i="46"/>
  <c r="F28" i="46" s="1"/>
  <c r="E27" i="46"/>
  <c r="E28" i="46" s="1"/>
  <c r="D27" i="46"/>
  <c r="D28" i="46" s="1"/>
  <c r="K25" i="46"/>
  <c r="K26" i="46" s="1"/>
  <c r="J25" i="46"/>
  <c r="J26" i="46" s="1"/>
  <c r="I25" i="46"/>
  <c r="I26" i="46" s="1"/>
  <c r="H25" i="46"/>
  <c r="H26" i="46" s="1"/>
  <c r="G25" i="46"/>
  <c r="G26" i="46" s="1"/>
  <c r="F25" i="46"/>
  <c r="F26" i="46" s="1"/>
  <c r="E25" i="46"/>
  <c r="E26" i="46" s="1"/>
  <c r="D25" i="46"/>
  <c r="D26" i="46" s="1"/>
  <c r="K23" i="46"/>
  <c r="K24" i="46" s="1"/>
  <c r="J23" i="46"/>
  <c r="J24" i="46" s="1"/>
  <c r="I23" i="46"/>
  <c r="I24" i="46" s="1"/>
  <c r="H23" i="46"/>
  <c r="H24" i="46" s="1"/>
  <c r="G23" i="46"/>
  <c r="G24" i="46" s="1"/>
  <c r="F23" i="46"/>
  <c r="F24" i="46" s="1"/>
  <c r="E23" i="46"/>
  <c r="E24" i="46" s="1"/>
  <c r="D23" i="46"/>
  <c r="D24" i="46" s="1"/>
  <c r="K21" i="46"/>
  <c r="K22" i="46" s="1"/>
  <c r="J21" i="46"/>
  <c r="J22" i="46" s="1"/>
  <c r="I21" i="46"/>
  <c r="I22" i="46" s="1"/>
  <c r="H21" i="46"/>
  <c r="H22" i="46" s="1"/>
  <c r="G21" i="46"/>
  <c r="G22" i="46" s="1"/>
  <c r="F21" i="46"/>
  <c r="F22" i="46" s="1"/>
  <c r="E21" i="46"/>
  <c r="E22" i="46" s="1"/>
  <c r="D21" i="46"/>
  <c r="D22" i="46" s="1"/>
  <c r="K19" i="46"/>
  <c r="K20" i="46" s="1"/>
  <c r="J19" i="46"/>
  <c r="J20" i="46" s="1"/>
  <c r="I19" i="46"/>
  <c r="I20" i="46" s="1"/>
  <c r="H19" i="46"/>
  <c r="H20" i="46" s="1"/>
  <c r="G19" i="46"/>
  <c r="G20" i="46" s="1"/>
  <c r="F19" i="46"/>
  <c r="F20" i="46" s="1"/>
  <c r="E19" i="46"/>
  <c r="E20" i="46" s="1"/>
  <c r="D19" i="46"/>
  <c r="D20" i="46" s="1"/>
  <c r="K17" i="46"/>
  <c r="K18" i="46" s="1"/>
  <c r="J17" i="46"/>
  <c r="J18" i="46" s="1"/>
  <c r="I17" i="46"/>
  <c r="I18" i="46" s="1"/>
  <c r="H17" i="46"/>
  <c r="H18" i="46" s="1"/>
  <c r="G17" i="46"/>
  <c r="G18" i="46" s="1"/>
  <c r="F17" i="46"/>
  <c r="F18" i="46" s="1"/>
  <c r="E17" i="46"/>
  <c r="E18" i="46" s="1"/>
  <c r="D17" i="46"/>
  <c r="H16" i="46"/>
  <c r="D16" i="46"/>
  <c r="B12" i="46"/>
  <c r="H10" i="46"/>
  <c r="E10" i="46"/>
  <c r="B10" i="46"/>
  <c r="B8" i="46"/>
  <c r="B7" i="46"/>
  <c r="B59" i="45"/>
  <c r="K58" i="45"/>
  <c r="B58" i="45"/>
  <c r="K55" i="45"/>
  <c r="K56" i="45" s="1"/>
  <c r="J55" i="45"/>
  <c r="J56" i="45" s="1"/>
  <c r="I55" i="45"/>
  <c r="I56" i="45" s="1"/>
  <c r="H55" i="45"/>
  <c r="H56" i="45" s="1"/>
  <c r="G55" i="45"/>
  <c r="G56" i="45" s="1"/>
  <c r="F55" i="45"/>
  <c r="F56" i="45" s="1"/>
  <c r="E55" i="45"/>
  <c r="E56" i="45" s="1"/>
  <c r="D55" i="45"/>
  <c r="D56" i="45" s="1"/>
  <c r="K53" i="45"/>
  <c r="K54" i="45" s="1"/>
  <c r="J53" i="45"/>
  <c r="J54" i="45" s="1"/>
  <c r="I53" i="45"/>
  <c r="I54" i="45" s="1"/>
  <c r="H53" i="45"/>
  <c r="H54" i="45" s="1"/>
  <c r="G53" i="45"/>
  <c r="G54" i="45" s="1"/>
  <c r="F53" i="45"/>
  <c r="F54" i="45" s="1"/>
  <c r="E53" i="45"/>
  <c r="E54" i="45" s="1"/>
  <c r="D53" i="45"/>
  <c r="D54" i="45" s="1"/>
  <c r="K51" i="45"/>
  <c r="K52" i="45" s="1"/>
  <c r="J51" i="45"/>
  <c r="J52" i="45" s="1"/>
  <c r="I51" i="45"/>
  <c r="I52" i="45" s="1"/>
  <c r="H51" i="45"/>
  <c r="H52" i="45" s="1"/>
  <c r="G51" i="45"/>
  <c r="G52" i="45" s="1"/>
  <c r="F51" i="45"/>
  <c r="F52" i="45" s="1"/>
  <c r="E51" i="45"/>
  <c r="E52" i="45" s="1"/>
  <c r="D51" i="45"/>
  <c r="D52" i="45" s="1"/>
  <c r="K49" i="45"/>
  <c r="K50" i="45" s="1"/>
  <c r="J49" i="45"/>
  <c r="J50" i="45" s="1"/>
  <c r="I49" i="45"/>
  <c r="I50" i="45" s="1"/>
  <c r="H49" i="45"/>
  <c r="H50" i="45" s="1"/>
  <c r="G49" i="45"/>
  <c r="G50" i="45" s="1"/>
  <c r="F49" i="45"/>
  <c r="F50" i="45" s="1"/>
  <c r="E49" i="45"/>
  <c r="E50" i="45" s="1"/>
  <c r="D49" i="45"/>
  <c r="D50" i="45" s="1"/>
  <c r="K47" i="45"/>
  <c r="K48" i="45" s="1"/>
  <c r="J47" i="45"/>
  <c r="J48" i="45" s="1"/>
  <c r="I47" i="45"/>
  <c r="I48" i="45" s="1"/>
  <c r="H47" i="45"/>
  <c r="H48" i="45" s="1"/>
  <c r="G47" i="45"/>
  <c r="G48" i="45" s="1"/>
  <c r="F47" i="45"/>
  <c r="F48" i="45" s="1"/>
  <c r="E47" i="45"/>
  <c r="E48" i="45" s="1"/>
  <c r="D47" i="45"/>
  <c r="D48" i="45" s="1"/>
  <c r="K45" i="45"/>
  <c r="K46" i="45" s="1"/>
  <c r="J45" i="45"/>
  <c r="J46" i="45" s="1"/>
  <c r="I45" i="45"/>
  <c r="I46" i="45" s="1"/>
  <c r="H45" i="45"/>
  <c r="H46" i="45" s="1"/>
  <c r="G45" i="45"/>
  <c r="G46" i="45" s="1"/>
  <c r="F45" i="45"/>
  <c r="F46" i="45" s="1"/>
  <c r="E45" i="45"/>
  <c r="E46" i="45" s="1"/>
  <c r="D45" i="45"/>
  <c r="D46" i="45" s="1"/>
  <c r="K43" i="45"/>
  <c r="K44" i="45" s="1"/>
  <c r="J43" i="45"/>
  <c r="J44" i="45" s="1"/>
  <c r="I43" i="45"/>
  <c r="I44" i="45" s="1"/>
  <c r="H43" i="45"/>
  <c r="H44" i="45" s="1"/>
  <c r="G43" i="45"/>
  <c r="G44" i="45" s="1"/>
  <c r="F43" i="45"/>
  <c r="F44" i="45" s="1"/>
  <c r="E43" i="45"/>
  <c r="E44" i="45" s="1"/>
  <c r="D43" i="45"/>
  <c r="D44" i="45" s="1"/>
  <c r="K41" i="45"/>
  <c r="K42" i="45" s="1"/>
  <c r="J41" i="45"/>
  <c r="J42" i="45" s="1"/>
  <c r="I41" i="45"/>
  <c r="I42" i="45" s="1"/>
  <c r="H41" i="45"/>
  <c r="H42" i="45" s="1"/>
  <c r="G41" i="45"/>
  <c r="G42" i="45" s="1"/>
  <c r="F41" i="45"/>
  <c r="F42" i="45" s="1"/>
  <c r="E41" i="45"/>
  <c r="E42" i="45" s="1"/>
  <c r="D41" i="45"/>
  <c r="D42" i="45" s="1"/>
  <c r="K39" i="45"/>
  <c r="K40" i="45" s="1"/>
  <c r="J39" i="45"/>
  <c r="J40" i="45" s="1"/>
  <c r="I39" i="45"/>
  <c r="I40" i="45" s="1"/>
  <c r="H39" i="45"/>
  <c r="H40" i="45" s="1"/>
  <c r="G39" i="45"/>
  <c r="G40" i="45" s="1"/>
  <c r="F39" i="45"/>
  <c r="F40" i="45" s="1"/>
  <c r="E39" i="45"/>
  <c r="E40" i="45" s="1"/>
  <c r="D39" i="45"/>
  <c r="D40" i="45" s="1"/>
  <c r="K37" i="45"/>
  <c r="K38" i="45" s="1"/>
  <c r="J37" i="45"/>
  <c r="J38" i="45" s="1"/>
  <c r="I37" i="45"/>
  <c r="I38" i="45" s="1"/>
  <c r="H37" i="45"/>
  <c r="H38" i="45" s="1"/>
  <c r="G37" i="45"/>
  <c r="G38" i="45" s="1"/>
  <c r="F37" i="45"/>
  <c r="F38" i="45" s="1"/>
  <c r="E37" i="45"/>
  <c r="E38" i="45" s="1"/>
  <c r="D37" i="45"/>
  <c r="D38" i="45" s="1"/>
  <c r="K35" i="45"/>
  <c r="K36" i="45" s="1"/>
  <c r="J35" i="45"/>
  <c r="J36" i="45" s="1"/>
  <c r="I35" i="45"/>
  <c r="I36" i="45" s="1"/>
  <c r="H35" i="45"/>
  <c r="H36" i="45" s="1"/>
  <c r="G35" i="45"/>
  <c r="G36" i="45" s="1"/>
  <c r="F35" i="45"/>
  <c r="F36" i="45" s="1"/>
  <c r="E35" i="45"/>
  <c r="E36" i="45" s="1"/>
  <c r="D35" i="45"/>
  <c r="D36" i="45" s="1"/>
  <c r="K33" i="45"/>
  <c r="K34" i="45" s="1"/>
  <c r="J33" i="45"/>
  <c r="J34" i="45" s="1"/>
  <c r="I33" i="45"/>
  <c r="I34" i="45" s="1"/>
  <c r="H33" i="45"/>
  <c r="H34" i="45" s="1"/>
  <c r="G33" i="45"/>
  <c r="G34" i="45" s="1"/>
  <c r="F33" i="45"/>
  <c r="F34" i="45" s="1"/>
  <c r="E33" i="45"/>
  <c r="E34" i="45" s="1"/>
  <c r="D33" i="45"/>
  <c r="D34" i="45" s="1"/>
  <c r="K31" i="45"/>
  <c r="K32" i="45" s="1"/>
  <c r="J31" i="45"/>
  <c r="J32" i="45" s="1"/>
  <c r="I31" i="45"/>
  <c r="I32" i="45" s="1"/>
  <c r="H31" i="45"/>
  <c r="H32" i="45" s="1"/>
  <c r="G31" i="45"/>
  <c r="G32" i="45" s="1"/>
  <c r="F31" i="45"/>
  <c r="F32" i="45" s="1"/>
  <c r="E31" i="45"/>
  <c r="E32" i="45" s="1"/>
  <c r="D31" i="45"/>
  <c r="D32" i="45" s="1"/>
  <c r="K29" i="45"/>
  <c r="K30" i="45" s="1"/>
  <c r="J29" i="45"/>
  <c r="J30" i="45" s="1"/>
  <c r="I29" i="45"/>
  <c r="I30" i="45" s="1"/>
  <c r="H29" i="45"/>
  <c r="H30" i="45" s="1"/>
  <c r="G29" i="45"/>
  <c r="G30" i="45" s="1"/>
  <c r="F29" i="45"/>
  <c r="F30" i="45" s="1"/>
  <c r="E29" i="45"/>
  <c r="E30" i="45" s="1"/>
  <c r="D29" i="45"/>
  <c r="D30" i="45" s="1"/>
  <c r="K27" i="45"/>
  <c r="K28" i="45" s="1"/>
  <c r="J27" i="45"/>
  <c r="J28" i="45" s="1"/>
  <c r="I27" i="45"/>
  <c r="I28" i="45" s="1"/>
  <c r="H27" i="45"/>
  <c r="H28" i="45" s="1"/>
  <c r="G27" i="45"/>
  <c r="G28" i="45" s="1"/>
  <c r="F27" i="45"/>
  <c r="F28" i="45" s="1"/>
  <c r="E27" i="45"/>
  <c r="E28" i="45" s="1"/>
  <c r="D27" i="45"/>
  <c r="D28" i="45" s="1"/>
  <c r="K25" i="45"/>
  <c r="K26" i="45" s="1"/>
  <c r="J25" i="45"/>
  <c r="J26" i="45" s="1"/>
  <c r="I25" i="45"/>
  <c r="I26" i="45" s="1"/>
  <c r="H25" i="45"/>
  <c r="H26" i="45" s="1"/>
  <c r="G25" i="45"/>
  <c r="G26" i="45" s="1"/>
  <c r="F25" i="45"/>
  <c r="F26" i="45" s="1"/>
  <c r="E25" i="45"/>
  <c r="E26" i="45" s="1"/>
  <c r="D25" i="45"/>
  <c r="D26" i="45" s="1"/>
  <c r="K23" i="45"/>
  <c r="K24" i="45" s="1"/>
  <c r="J23" i="45"/>
  <c r="J24" i="45" s="1"/>
  <c r="I23" i="45"/>
  <c r="I24" i="45" s="1"/>
  <c r="H23" i="45"/>
  <c r="H24" i="45" s="1"/>
  <c r="G23" i="45"/>
  <c r="G24" i="45" s="1"/>
  <c r="F23" i="45"/>
  <c r="F24" i="45" s="1"/>
  <c r="E23" i="45"/>
  <c r="E24" i="45" s="1"/>
  <c r="D23" i="45"/>
  <c r="D24" i="45" s="1"/>
  <c r="K21" i="45"/>
  <c r="K22" i="45" s="1"/>
  <c r="J21" i="45"/>
  <c r="J22" i="45" s="1"/>
  <c r="I21" i="45"/>
  <c r="I22" i="45" s="1"/>
  <c r="H21" i="45"/>
  <c r="H22" i="45" s="1"/>
  <c r="G21" i="45"/>
  <c r="G22" i="45" s="1"/>
  <c r="F21" i="45"/>
  <c r="F22" i="45" s="1"/>
  <c r="E21" i="45"/>
  <c r="E22" i="45" s="1"/>
  <c r="D21" i="45"/>
  <c r="D22" i="45" s="1"/>
  <c r="K19" i="45"/>
  <c r="K20" i="45" s="1"/>
  <c r="J19" i="45"/>
  <c r="J20" i="45" s="1"/>
  <c r="I19" i="45"/>
  <c r="I20" i="45" s="1"/>
  <c r="H19" i="45"/>
  <c r="H20" i="45" s="1"/>
  <c r="G19" i="45"/>
  <c r="G20" i="45" s="1"/>
  <c r="F19" i="45"/>
  <c r="F20" i="45" s="1"/>
  <c r="E19" i="45"/>
  <c r="E20" i="45" s="1"/>
  <c r="D19" i="45"/>
  <c r="D20" i="45" s="1"/>
  <c r="K17" i="45"/>
  <c r="K18" i="45" s="1"/>
  <c r="J17" i="45"/>
  <c r="J18" i="45" s="1"/>
  <c r="I17" i="45"/>
  <c r="I18" i="45" s="1"/>
  <c r="H17" i="45"/>
  <c r="H18" i="45" s="1"/>
  <c r="G17" i="45"/>
  <c r="G18" i="45" s="1"/>
  <c r="F17" i="45"/>
  <c r="F18" i="45" s="1"/>
  <c r="E17" i="45"/>
  <c r="E18" i="45" s="1"/>
  <c r="D17" i="45"/>
  <c r="H16" i="45"/>
  <c r="D16" i="45"/>
  <c r="B12" i="45"/>
  <c r="H10" i="45"/>
  <c r="E10" i="45"/>
  <c r="B10" i="45"/>
  <c r="B8" i="45"/>
  <c r="B7" i="45"/>
  <c r="B59" i="44"/>
  <c r="K58" i="44"/>
  <c r="B58" i="44"/>
  <c r="K55" i="44"/>
  <c r="K56" i="44" s="1"/>
  <c r="J55" i="44"/>
  <c r="J56" i="44" s="1"/>
  <c r="I55" i="44"/>
  <c r="I56" i="44" s="1"/>
  <c r="H55" i="44"/>
  <c r="H56" i="44" s="1"/>
  <c r="G55" i="44"/>
  <c r="G56" i="44" s="1"/>
  <c r="F55" i="44"/>
  <c r="F56" i="44" s="1"/>
  <c r="E55" i="44"/>
  <c r="E56" i="44" s="1"/>
  <c r="D55" i="44"/>
  <c r="D56" i="44" s="1"/>
  <c r="K53" i="44"/>
  <c r="K54" i="44" s="1"/>
  <c r="J53" i="44"/>
  <c r="J54" i="44" s="1"/>
  <c r="I53" i="44"/>
  <c r="I54" i="44" s="1"/>
  <c r="H53" i="44"/>
  <c r="H54" i="44" s="1"/>
  <c r="G53" i="44"/>
  <c r="G54" i="44" s="1"/>
  <c r="F53" i="44"/>
  <c r="F54" i="44" s="1"/>
  <c r="E53" i="44"/>
  <c r="E54" i="44" s="1"/>
  <c r="D53" i="44"/>
  <c r="D54" i="44" s="1"/>
  <c r="K51" i="44"/>
  <c r="K52" i="44" s="1"/>
  <c r="J51" i="44"/>
  <c r="J52" i="44" s="1"/>
  <c r="I51" i="44"/>
  <c r="I52" i="44" s="1"/>
  <c r="H51" i="44"/>
  <c r="H52" i="44" s="1"/>
  <c r="G51" i="44"/>
  <c r="G52" i="44" s="1"/>
  <c r="F51" i="44"/>
  <c r="F52" i="44" s="1"/>
  <c r="E51" i="44"/>
  <c r="E52" i="44" s="1"/>
  <c r="D51" i="44"/>
  <c r="D52" i="44" s="1"/>
  <c r="K49" i="44"/>
  <c r="K50" i="44" s="1"/>
  <c r="J49" i="44"/>
  <c r="J50" i="44" s="1"/>
  <c r="I49" i="44"/>
  <c r="I50" i="44" s="1"/>
  <c r="H49" i="44"/>
  <c r="H50" i="44" s="1"/>
  <c r="G49" i="44"/>
  <c r="G50" i="44" s="1"/>
  <c r="F49" i="44"/>
  <c r="F50" i="44" s="1"/>
  <c r="E49" i="44"/>
  <c r="E50" i="44" s="1"/>
  <c r="D49" i="44"/>
  <c r="D50" i="44" s="1"/>
  <c r="K47" i="44"/>
  <c r="K48" i="44" s="1"/>
  <c r="J47" i="44"/>
  <c r="J48" i="44" s="1"/>
  <c r="I47" i="44"/>
  <c r="I48" i="44" s="1"/>
  <c r="H47" i="44"/>
  <c r="H48" i="44" s="1"/>
  <c r="G47" i="44"/>
  <c r="G48" i="44" s="1"/>
  <c r="F47" i="44"/>
  <c r="F48" i="44" s="1"/>
  <c r="E47" i="44"/>
  <c r="E48" i="44" s="1"/>
  <c r="D47" i="44"/>
  <c r="D48" i="44" s="1"/>
  <c r="K45" i="44"/>
  <c r="K46" i="44" s="1"/>
  <c r="J45" i="44"/>
  <c r="J46" i="44" s="1"/>
  <c r="I45" i="44"/>
  <c r="I46" i="44" s="1"/>
  <c r="H45" i="44"/>
  <c r="H46" i="44" s="1"/>
  <c r="G45" i="44"/>
  <c r="G46" i="44" s="1"/>
  <c r="F45" i="44"/>
  <c r="F46" i="44" s="1"/>
  <c r="E45" i="44"/>
  <c r="E46" i="44" s="1"/>
  <c r="D45" i="44"/>
  <c r="D46" i="44" s="1"/>
  <c r="K43" i="44"/>
  <c r="K44" i="44" s="1"/>
  <c r="J43" i="44"/>
  <c r="J44" i="44" s="1"/>
  <c r="I43" i="44"/>
  <c r="I44" i="44" s="1"/>
  <c r="H43" i="44"/>
  <c r="H44" i="44" s="1"/>
  <c r="G43" i="44"/>
  <c r="G44" i="44" s="1"/>
  <c r="F43" i="44"/>
  <c r="F44" i="44" s="1"/>
  <c r="E43" i="44"/>
  <c r="E44" i="44" s="1"/>
  <c r="D43" i="44"/>
  <c r="D44" i="44" s="1"/>
  <c r="K41" i="44"/>
  <c r="K42" i="44" s="1"/>
  <c r="J41" i="44"/>
  <c r="J42" i="44" s="1"/>
  <c r="I41" i="44"/>
  <c r="I42" i="44" s="1"/>
  <c r="H41" i="44"/>
  <c r="H42" i="44" s="1"/>
  <c r="G41" i="44"/>
  <c r="G42" i="44" s="1"/>
  <c r="F41" i="44"/>
  <c r="F42" i="44" s="1"/>
  <c r="E41" i="44"/>
  <c r="E42" i="44" s="1"/>
  <c r="D41" i="44"/>
  <c r="D42" i="44" s="1"/>
  <c r="K39" i="44"/>
  <c r="K40" i="44" s="1"/>
  <c r="J39" i="44"/>
  <c r="J40" i="44" s="1"/>
  <c r="I39" i="44"/>
  <c r="I40" i="44" s="1"/>
  <c r="H39" i="44"/>
  <c r="H40" i="44" s="1"/>
  <c r="G39" i="44"/>
  <c r="G40" i="44" s="1"/>
  <c r="F39" i="44"/>
  <c r="F40" i="44" s="1"/>
  <c r="E39" i="44"/>
  <c r="E40" i="44" s="1"/>
  <c r="D39" i="44"/>
  <c r="D40" i="44" s="1"/>
  <c r="K37" i="44"/>
  <c r="K38" i="44" s="1"/>
  <c r="J37" i="44"/>
  <c r="J38" i="44" s="1"/>
  <c r="I37" i="44"/>
  <c r="I38" i="44" s="1"/>
  <c r="H37" i="44"/>
  <c r="H38" i="44" s="1"/>
  <c r="G37" i="44"/>
  <c r="G38" i="44" s="1"/>
  <c r="F37" i="44"/>
  <c r="F38" i="44" s="1"/>
  <c r="E37" i="44"/>
  <c r="E38" i="44" s="1"/>
  <c r="D37" i="44"/>
  <c r="D38" i="44" s="1"/>
  <c r="K35" i="44"/>
  <c r="K36" i="44" s="1"/>
  <c r="J35" i="44"/>
  <c r="J36" i="44" s="1"/>
  <c r="I35" i="44"/>
  <c r="I36" i="44" s="1"/>
  <c r="H35" i="44"/>
  <c r="H36" i="44" s="1"/>
  <c r="G35" i="44"/>
  <c r="G36" i="44" s="1"/>
  <c r="F35" i="44"/>
  <c r="F36" i="44" s="1"/>
  <c r="E35" i="44"/>
  <c r="E36" i="44" s="1"/>
  <c r="D35" i="44"/>
  <c r="D36" i="44" s="1"/>
  <c r="K33" i="44"/>
  <c r="K34" i="44" s="1"/>
  <c r="J33" i="44"/>
  <c r="J34" i="44" s="1"/>
  <c r="I33" i="44"/>
  <c r="I34" i="44" s="1"/>
  <c r="H33" i="44"/>
  <c r="H34" i="44" s="1"/>
  <c r="G33" i="44"/>
  <c r="G34" i="44" s="1"/>
  <c r="F33" i="44"/>
  <c r="F34" i="44" s="1"/>
  <c r="E33" i="44"/>
  <c r="E34" i="44" s="1"/>
  <c r="D33" i="44"/>
  <c r="D34" i="44" s="1"/>
  <c r="K31" i="44"/>
  <c r="K32" i="44" s="1"/>
  <c r="J31" i="44"/>
  <c r="J32" i="44" s="1"/>
  <c r="I31" i="44"/>
  <c r="I32" i="44" s="1"/>
  <c r="H31" i="44"/>
  <c r="H32" i="44" s="1"/>
  <c r="G31" i="44"/>
  <c r="G32" i="44" s="1"/>
  <c r="F31" i="44"/>
  <c r="F32" i="44" s="1"/>
  <c r="E31" i="44"/>
  <c r="E32" i="44" s="1"/>
  <c r="D31" i="44"/>
  <c r="D32" i="44" s="1"/>
  <c r="K29" i="44"/>
  <c r="K30" i="44" s="1"/>
  <c r="J29" i="44"/>
  <c r="J30" i="44" s="1"/>
  <c r="I29" i="44"/>
  <c r="I30" i="44" s="1"/>
  <c r="H29" i="44"/>
  <c r="H30" i="44" s="1"/>
  <c r="G29" i="44"/>
  <c r="G30" i="44" s="1"/>
  <c r="F29" i="44"/>
  <c r="F30" i="44" s="1"/>
  <c r="E29" i="44"/>
  <c r="E30" i="44" s="1"/>
  <c r="D29" i="44"/>
  <c r="D30" i="44" s="1"/>
  <c r="K27" i="44"/>
  <c r="K28" i="44" s="1"/>
  <c r="J27" i="44"/>
  <c r="J28" i="44" s="1"/>
  <c r="I27" i="44"/>
  <c r="I28" i="44" s="1"/>
  <c r="H27" i="44"/>
  <c r="H28" i="44" s="1"/>
  <c r="G27" i="44"/>
  <c r="G28" i="44" s="1"/>
  <c r="F27" i="44"/>
  <c r="F28" i="44" s="1"/>
  <c r="E27" i="44"/>
  <c r="E28" i="44" s="1"/>
  <c r="D27" i="44"/>
  <c r="D28" i="44" s="1"/>
  <c r="K25" i="44"/>
  <c r="K26" i="44" s="1"/>
  <c r="J25" i="44"/>
  <c r="J26" i="44" s="1"/>
  <c r="I25" i="44"/>
  <c r="I26" i="44" s="1"/>
  <c r="H25" i="44"/>
  <c r="H26" i="44" s="1"/>
  <c r="G25" i="44"/>
  <c r="G26" i="44" s="1"/>
  <c r="F25" i="44"/>
  <c r="F26" i="44" s="1"/>
  <c r="E25" i="44"/>
  <c r="E26" i="44" s="1"/>
  <c r="D25" i="44"/>
  <c r="D26" i="44" s="1"/>
  <c r="K23" i="44"/>
  <c r="K24" i="44" s="1"/>
  <c r="J23" i="44"/>
  <c r="J24" i="44" s="1"/>
  <c r="I23" i="44"/>
  <c r="I24" i="44" s="1"/>
  <c r="H23" i="44"/>
  <c r="H24" i="44" s="1"/>
  <c r="G23" i="44"/>
  <c r="G24" i="44" s="1"/>
  <c r="F23" i="44"/>
  <c r="F24" i="44" s="1"/>
  <c r="E23" i="44"/>
  <c r="E24" i="44" s="1"/>
  <c r="D23" i="44"/>
  <c r="D24" i="44" s="1"/>
  <c r="K21" i="44"/>
  <c r="K22" i="44" s="1"/>
  <c r="J21" i="44"/>
  <c r="J22" i="44" s="1"/>
  <c r="I21" i="44"/>
  <c r="I22" i="44" s="1"/>
  <c r="H21" i="44"/>
  <c r="H22" i="44" s="1"/>
  <c r="G21" i="44"/>
  <c r="G22" i="44" s="1"/>
  <c r="F21" i="44"/>
  <c r="F22" i="44" s="1"/>
  <c r="E21" i="44"/>
  <c r="E22" i="44" s="1"/>
  <c r="D21" i="44"/>
  <c r="D22" i="44" s="1"/>
  <c r="K19" i="44"/>
  <c r="K20" i="44" s="1"/>
  <c r="J19" i="44"/>
  <c r="J20" i="44" s="1"/>
  <c r="I19" i="44"/>
  <c r="I20" i="44" s="1"/>
  <c r="H19" i="44"/>
  <c r="H20" i="44" s="1"/>
  <c r="G19" i="44"/>
  <c r="G20" i="44" s="1"/>
  <c r="F19" i="44"/>
  <c r="F20" i="44" s="1"/>
  <c r="E19" i="44"/>
  <c r="E20" i="44" s="1"/>
  <c r="D19" i="44"/>
  <c r="D20" i="44" s="1"/>
  <c r="K17" i="44"/>
  <c r="K18" i="44" s="1"/>
  <c r="J17" i="44"/>
  <c r="J18" i="44" s="1"/>
  <c r="I17" i="44"/>
  <c r="I18" i="44" s="1"/>
  <c r="H17" i="44"/>
  <c r="H18" i="44" s="1"/>
  <c r="G17" i="44"/>
  <c r="G18" i="44" s="1"/>
  <c r="F17" i="44"/>
  <c r="F18" i="44" s="1"/>
  <c r="E17" i="44"/>
  <c r="E18" i="44" s="1"/>
  <c r="D17" i="44"/>
  <c r="H16" i="44"/>
  <c r="D16" i="44"/>
  <c r="B12" i="44"/>
  <c r="H10" i="44"/>
  <c r="E10" i="44"/>
  <c r="B10" i="44"/>
  <c r="B8" i="44"/>
  <c r="B7" i="44"/>
  <c r="B59" i="43"/>
  <c r="K58" i="43"/>
  <c r="B58" i="43"/>
  <c r="K55" i="43"/>
  <c r="K56" i="43" s="1"/>
  <c r="J55" i="43"/>
  <c r="J56" i="43" s="1"/>
  <c r="I55" i="43"/>
  <c r="I56" i="43" s="1"/>
  <c r="H55" i="43"/>
  <c r="H56" i="43" s="1"/>
  <c r="G55" i="43"/>
  <c r="G56" i="43" s="1"/>
  <c r="F55" i="43"/>
  <c r="F56" i="43" s="1"/>
  <c r="E55" i="43"/>
  <c r="E56" i="43" s="1"/>
  <c r="D55" i="43"/>
  <c r="D56" i="43" s="1"/>
  <c r="K53" i="43"/>
  <c r="K54" i="43" s="1"/>
  <c r="J53" i="43"/>
  <c r="J54" i="43" s="1"/>
  <c r="I53" i="43"/>
  <c r="I54" i="43" s="1"/>
  <c r="H53" i="43"/>
  <c r="H54" i="43" s="1"/>
  <c r="G53" i="43"/>
  <c r="G54" i="43" s="1"/>
  <c r="F53" i="43"/>
  <c r="F54" i="43" s="1"/>
  <c r="E53" i="43"/>
  <c r="E54" i="43" s="1"/>
  <c r="D53" i="43"/>
  <c r="D54" i="43" s="1"/>
  <c r="K51" i="43"/>
  <c r="K52" i="43" s="1"/>
  <c r="J51" i="43"/>
  <c r="J52" i="43" s="1"/>
  <c r="I51" i="43"/>
  <c r="I52" i="43" s="1"/>
  <c r="H51" i="43"/>
  <c r="H52" i="43" s="1"/>
  <c r="G51" i="43"/>
  <c r="G52" i="43" s="1"/>
  <c r="F51" i="43"/>
  <c r="F52" i="43" s="1"/>
  <c r="E51" i="43"/>
  <c r="E52" i="43" s="1"/>
  <c r="D51" i="43"/>
  <c r="D52" i="43" s="1"/>
  <c r="K49" i="43"/>
  <c r="K50" i="43" s="1"/>
  <c r="J49" i="43"/>
  <c r="J50" i="43" s="1"/>
  <c r="I49" i="43"/>
  <c r="I50" i="43" s="1"/>
  <c r="H49" i="43"/>
  <c r="H50" i="43" s="1"/>
  <c r="G49" i="43"/>
  <c r="G50" i="43" s="1"/>
  <c r="F49" i="43"/>
  <c r="F50" i="43" s="1"/>
  <c r="E49" i="43"/>
  <c r="E50" i="43" s="1"/>
  <c r="D49" i="43"/>
  <c r="D50" i="43" s="1"/>
  <c r="K47" i="43"/>
  <c r="K48" i="43" s="1"/>
  <c r="J47" i="43"/>
  <c r="J48" i="43" s="1"/>
  <c r="I47" i="43"/>
  <c r="I48" i="43" s="1"/>
  <c r="H47" i="43"/>
  <c r="H48" i="43" s="1"/>
  <c r="G47" i="43"/>
  <c r="G48" i="43" s="1"/>
  <c r="F47" i="43"/>
  <c r="F48" i="43" s="1"/>
  <c r="E47" i="43"/>
  <c r="E48" i="43" s="1"/>
  <c r="D47" i="43"/>
  <c r="D48" i="43" s="1"/>
  <c r="K45" i="43"/>
  <c r="K46" i="43" s="1"/>
  <c r="J45" i="43"/>
  <c r="J46" i="43" s="1"/>
  <c r="I45" i="43"/>
  <c r="I46" i="43" s="1"/>
  <c r="H45" i="43"/>
  <c r="H46" i="43" s="1"/>
  <c r="G45" i="43"/>
  <c r="G46" i="43" s="1"/>
  <c r="F45" i="43"/>
  <c r="F46" i="43" s="1"/>
  <c r="E45" i="43"/>
  <c r="E46" i="43" s="1"/>
  <c r="D45" i="43"/>
  <c r="D46" i="43" s="1"/>
  <c r="K43" i="43"/>
  <c r="K44" i="43" s="1"/>
  <c r="J43" i="43"/>
  <c r="J44" i="43" s="1"/>
  <c r="I43" i="43"/>
  <c r="I44" i="43" s="1"/>
  <c r="H43" i="43"/>
  <c r="H44" i="43" s="1"/>
  <c r="G43" i="43"/>
  <c r="G44" i="43" s="1"/>
  <c r="F43" i="43"/>
  <c r="F44" i="43" s="1"/>
  <c r="E43" i="43"/>
  <c r="E44" i="43" s="1"/>
  <c r="D43" i="43"/>
  <c r="D44" i="43" s="1"/>
  <c r="K41" i="43"/>
  <c r="K42" i="43" s="1"/>
  <c r="J41" i="43"/>
  <c r="J42" i="43" s="1"/>
  <c r="I41" i="43"/>
  <c r="I42" i="43" s="1"/>
  <c r="H41" i="43"/>
  <c r="H42" i="43" s="1"/>
  <c r="G41" i="43"/>
  <c r="G42" i="43" s="1"/>
  <c r="F41" i="43"/>
  <c r="F42" i="43" s="1"/>
  <c r="E41" i="43"/>
  <c r="E42" i="43" s="1"/>
  <c r="D41" i="43"/>
  <c r="D42" i="43" s="1"/>
  <c r="K39" i="43"/>
  <c r="K40" i="43" s="1"/>
  <c r="J39" i="43"/>
  <c r="J40" i="43" s="1"/>
  <c r="I39" i="43"/>
  <c r="I40" i="43" s="1"/>
  <c r="H39" i="43"/>
  <c r="H40" i="43" s="1"/>
  <c r="G39" i="43"/>
  <c r="G40" i="43" s="1"/>
  <c r="F39" i="43"/>
  <c r="F40" i="43" s="1"/>
  <c r="E39" i="43"/>
  <c r="E40" i="43" s="1"/>
  <c r="D39" i="43"/>
  <c r="D40" i="43" s="1"/>
  <c r="K37" i="43"/>
  <c r="K38" i="43" s="1"/>
  <c r="J37" i="43"/>
  <c r="J38" i="43" s="1"/>
  <c r="I37" i="43"/>
  <c r="I38" i="43" s="1"/>
  <c r="H37" i="43"/>
  <c r="H38" i="43" s="1"/>
  <c r="G37" i="43"/>
  <c r="G38" i="43" s="1"/>
  <c r="F37" i="43"/>
  <c r="F38" i="43" s="1"/>
  <c r="E37" i="43"/>
  <c r="E38" i="43" s="1"/>
  <c r="D37" i="43"/>
  <c r="D38" i="43" s="1"/>
  <c r="K35" i="43"/>
  <c r="K36" i="43" s="1"/>
  <c r="J35" i="43"/>
  <c r="J36" i="43" s="1"/>
  <c r="I35" i="43"/>
  <c r="I36" i="43" s="1"/>
  <c r="H35" i="43"/>
  <c r="H36" i="43" s="1"/>
  <c r="G35" i="43"/>
  <c r="G36" i="43" s="1"/>
  <c r="F35" i="43"/>
  <c r="F36" i="43" s="1"/>
  <c r="E35" i="43"/>
  <c r="E36" i="43" s="1"/>
  <c r="D35" i="43"/>
  <c r="D36" i="43" s="1"/>
  <c r="K33" i="43"/>
  <c r="K34" i="43" s="1"/>
  <c r="J33" i="43"/>
  <c r="J34" i="43" s="1"/>
  <c r="I33" i="43"/>
  <c r="I34" i="43" s="1"/>
  <c r="H33" i="43"/>
  <c r="H34" i="43" s="1"/>
  <c r="G33" i="43"/>
  <c r="G34" i="43" s="1"/>
  <c r="F33" i="43"/>
  <c r="F34" i="43" s="1"/>
  <c r="E33" i="43"/>
  <c r="E34" i="43" s="1"/>
  <c r="D33" i="43"/>
  <c r="D34" i="43" s="1"/>
  <c r="K31" i="43"/>
  <c r="K32" i="43" s="1"/>
  <c r="J31" i="43"/>
  <c r="J32" i="43" s="1"/>
  <c r="I31" i="43"/>
  <c r="I32" i="43" s="1"/>
  <c r="H31" i="43"/>
  <c r="H32" i="43" s="1"/>
  <c r="G31" i="43"/>
  <c r="G32" i="43" s="1"/>
  <c r="F31" i="43"/>
  <c r="F32" i="43" s="1"/>
  <c r="E31" i="43"/>
  <c r="E32" i="43" s="1"/>
  <c r="D31" i="43"/>
  <c r="D32" i="43" s="1"/>
  <c r="K29" i="43"/>
  <c r="K30" i="43" s="1"/>
  <c r="J29" i="43"/>
  <c r="J30" i="43" s="1"/>
  <c r="I29" i="43"/>
  <c r="I30" i="43" s="1"/>
  <c r="H29" i="43"/>
  <c r="H30" i="43" s="1"/>
  <c r="G29" i="43"/>
  <c r="G30" i="43" s="1"/>
  <c r="F29" i="43"/>
  <c r="F30" i="43" s="1"/>
  <c r="E29" i="43"/>
  <c r="E30" i="43" s="1"/>
  <c r="D29" i="43"/>
  <c r="D30" i="43" s="1"/>
  <c r="K27" i="43"/>
  <c r="K28" i="43" s="1"/>
  <c r="J27" i="43"/>
  <c r="J28" i="43" s="1"/>
  <c r="I27" i="43"/>
  <c r="I28" i="43" s="1"/>
  <c r="H27" i="43"/>
  <c r="H28" i="43" s="1"/>
  <c r="G27" i="43"/>
  <c r="G28" i="43" s="1"/>
  <c r="F27" i="43"/>
  <c r="F28" i="43" s="1"/>
  <c r="E27" i="43"/>
  <c r="E28" i="43" s="1"/>
  <c r="D27" i="43"/>
  <c r="D28" i="43" s="1"/>
  <c r="K25" i="43"/>
  <c r="K26" i="43" s="1"/>
  <c r="J25" i="43"/>
  <c r="J26" i="43" s="1"/>
  <c r="I25" i="43"/>
  <c r="I26" i="43" s="1"/>
  <c r="H25" i="43"/>
  <c r="H26" i="43" s="1"/>
  <c r="G25" i="43"/>
  <c r="G26" i="43" s="1"/>
  <c r="F25" i="43"/>
  <c r="F26" i="43" s="1"/>
  <c r="E25" i="43"/>
  <c r="E26" i="43" s="1"/>
  <c r="D25" i="43"/>
  <c r="D26" i="43" s="1"/>
  <c r="K23" i="43"/>
  <c r="K24" i="43" s="1"/>
  <c r="J23" i="43"/>
  <c r="J24" i="43" s="1"/>
  <c r="I23" i="43"/>
  <c r="I24" i="43" s="1"/>
  <c r="H23" i="43"/>
  <c r="H24" i="43" s="1"/>
  <c r="G23" i="43"/>
  <c r="G24" i="43" s="1"/>
  <c r="F23" i="43"/>
  <c r="F24" i="43" s="1"/>
  <c r="E23" i="43"/>
  <c r="E24" i="43" s="1"/>
  <c r="D23" i="43"/>
  <c r="D24" i="43" s="1"/>
  <c r="K21" i="43"/>
  <c r="K22" i="43" s="1"/>
  <c r="J21" i="43"/>
  <c r="J22" i="43" s="1"/>
  <c r="I21" i="43"/>
  <c r="I22" i="43" s="1"/>
  <c r="H21" i="43"/>
  <c r="H22" i="43" s="1"/>
  <c r="G21" i="43"/>
  <c r="G22" i="43" s="1"/>
  <c r="F21" i="43"/>
  <c r="F22" i="43" s="1"/>
  <c r="E21" i="43"/>
  <c r="E22" i="43" s="1"/>
  <c r="D21" i="43"/>
  <c r="D22" i="43" s="1"/>
  <c r="K19" i="43"/>
  <c r="K20" i="43" s="1"/>
  <c r="J19" i="43"/>
  <c r="J20" i="43" s="1"/>
  <c r="I19" i="43"/>
  <c r="I20" i="43" s="1"/>
  <c r="H19" i="43"/>
  <c r="H20" i="43" s="1"/>
  <c r="G19" i="43"/>
  <c r="G20" i="43" s="1"/>
  <c r="F19" i="43"/>
  <c r="F20" i="43" s="1"/>
  <c r="E19" i="43"/>
  <c r="E20" i="43" s="1"/>
  <c r="D19" i="43"/>
  <c r="D20" i="43" s="1"/>
  <c r="K17" i="43"/>
  <c r="K18" i="43" s="1"/>
  <c r="J17" i="43"/>
  <c r="J18" i="43" s="1"/>
  <c r="I17" i="43"/>
  <c r="I18" i="43" s="1"/>
  <c r="H17" i="43"/>
  <c r="H18" i="43" s="1"/>
  <c r="G17" i="43"/>
  <c r="G18" i="43" s="1"/>
  <c r="F17" i="43"/>
  <c r="F18" i="43" s="1"/>
  <c r="E17" i="43"/>
  <c r="E18" i="43" s="1"/>
  <c r="D17" i="43"/>
  <c r="H16" i="43"/>
  <c r="D16" i="43"/>
  <c r="B12" i="43"/>
  <c r="H10" i="43"/>
  <c r="E10" i="43"/>
  <c r="B10" i="43"/>
  <c r="B8" i="43"/>
  <c r="B7" i="43"/>
  <c r="B59" i="42"/>
  <c r="K58" i="42"/>
  <c r="B58" i="42"/>
  <c r="K55" i="42"/>
  <c r="K56" i="42" s="1"/>
  <c r="J55" i="42"/>
  <c r="J56" i="42" s="1"/>
  <c r="I55" i="42"/>
  <c r="I56" i="42" s="1"/>
  <c r="H55" i="42"/>
  <c r="H56" i="42" s="1"/>
  <c r="G55" i="42"/>
  <c r="G56" i="42" s="1"/>
  <c r="F55" i="42"/>
  <c r="F56" i="42" s="1"/>
  <c r="E55" i="42"/>
  <c r="E56" i="42" s="1"/>
  <c r="D55" i="42"/>
  <c r="D56" i="42" s="1"/>
  <c r="K53" i="42"/>
  <c r="K54" i="42" s="1"/>
  <c r="J53" i="42"/>
  <c r="J54" i="42" s="1"/>
  <c r="I53" i="42"/>
  <c r="I54" i="42" s="1"/>
  <c r="H53" i="42"/>
  <c r="H54" i="42" s="1"/>
  <c r="G53" i="42"/>
  <c r="G54" i="42" s="1"/>
  <c r="F53" i="42"/>
  <c r="F54" i="42" s="1"/>
  <c r="E53" i="42"/>
  <c r="E54" i="42" s="1"/>
  <c r="D53" i="42"/>
  <c r="D54" i="42" s="1"/>
  <c r="K51" i="42"/>
  <c r="K52" i="42" s="1"/>
  <c r="J51" i="42"/>
  <c r="J52" i="42" s="1"/>
  <c r="I51" i="42"/>
  <c r="I52" i="42" s="1"/>
  <c r="H51" i="42"/>
  <c r="H52" i="42" s="1"/>
  <c r="G51" i="42"/>
  <c r="G52" i="42" s="1"/>
  <c r="F51" i="42"/>
  <c r="F52" i="42" s="1"/>
  <c r="E51" i="42"/>
  <c r="E52" i="42" s="1"/>
  <c r="D51" i="42"/>
  <c r="D52" i="42" s="1"/>
  <c r="K49" i="42"/>
  <c r="K50" i="42" s="1"/>
  <c r="J49" i="42"/>
  <c r="J50" i="42" s="1"/>
  <c r="I49" i="42"/>
  <c r="I50" i="42" s="1"/>
  <c r="H49" i="42"/>
  <c r="H50" i="42" s="1"/>
  <c r="G49" i="42"/>
  <c r="G50" i="42" s="1"/>
  <c r="F49" i="42"/>
  <c r="F50" i="42" s="1"/>
  <c r="E49" i="42"/>
  <c r="E50" i="42" s="1"/>
  <c r="D49" i="42"/>
  <c r="D50" i="42" s="1"/>
  <c r="K47" i="42"/>
  <c r="K48" i="42" s="1"/>
  <c r="J47" i="42"/>
  <c r="J48" i="42" s="1"/>
  <c r="I47" i="42"/>
  <c r="I48" i="42" s="1"/>
  <c r="H47" i="42"/>
  <c r="H48" i="42" s="1"/>
  <c r="G47" i="42"/>
  <c r="G48" i="42" s="1"/>
  <c r="F47" i="42"/>
  <c r="F48" i="42" s="1"/>
  <c r="E47" i="42"/>
  <c r="E48" i="42" s="1"/>
  <c r="D47" i="42"/>
  <c r="D48" i="42" s="1"/>
  <c r="K45" i="42"/>
  <c r="K46" i="42" s="1"/>
  <c r="J45" i="42"/>
  <c r="J46" i="42" s="1"/>
  <c r="I45" i="42"/>
  <c r="I46" i="42" s="1"/>
  <c r="H45" i="42"/>
  <c r="H46" i="42" s="1"/>
  <c r="G45" i="42"/>
  <c r="G46" i="42" s="1"/>
  <c r="F45" i="42"/>
  <c r="F46" i="42" s="1"/>
  <c r="E45" i="42"/>
  <c r="E46" i="42" s="1"/>
  <c r="D45" i="42"/>
  <c r="D46" i="42" s="1"/>
  <c r="K43" i="42"/>
  <c r="K44" i="42" s="1"/>
  <c r="J43" i="42"/>
  <c r="J44" i="42" s="1"/>
  <c r="I43" i="42"/>
  <c r="I44" i="42" s="1"/>
  <c r="H43" i="42"/>
  <c r="H44" i="42" s="1"/>
  <c r="G43" i="42"/>
  <c r="G44" i="42" s="1"/>
  <c r="F43" i="42"/>
  <c r="F44" i="42" s="1"/>
  <c r="E43" i="42"/>
  <c r="E44" i="42" s="1"/>
  <c r="D43" i="42"/>
  <c r="D44" i="42" s="1"/>
  <c r="K41" i="42"/>
  <c r="K42" i="42" s="1"/>
  <c r="J41" i="42"/>
  <c r="J42" i="42" s="1"/>
  <c r="I41" i="42"/>
  <c r="I42" i="42" s="1"/>
  <c r="H41" i="42"/>
  <c r="H42" i="42" s="1"/>
  <c r="G41" i="42"/>
  <c r="G42" i="42" s="1"/>
  <c r="F41" i="42"/>
  <c r="F42" i="42" s="1"/>
  <c r="E41" i="42"/>
  <c r="E42" i="42" s="1"/>
  <c r="D41" i="42"/>
  <c r="D42" i="42" s="1"/>
  <c r="K39" i="42"/>
  <c r="K40" i="42" s="1"/>
  <c r="J39" i="42"/>
  <c r="J40" i="42" s="1"/>
  <c r="I39" i="42"/>
  <c r="I40" i="42" s="1"/>
  <c r="H39" i="42"/>
  <c r="H40" i="42" s="1"/>
  <c r="G39" i="42"/>
  <c r="G40" i="42" s="1"/>
  <c r="F39" i="42"/>
  <c r="F40" i="42" s="1"/>
  <c r="E39" i="42"/>
  <c r="E40" i="42" s="1"/>
  <c r="D39" i="42"/>
  <c r="D40" i="42" s="1"/>
  <c r="K37" i="42"/>
  <c r="K38" i="42" s="1"/>
  <c r="J37" i="42"/>
  <c r="J38" i="42" s="1"/>
  <c r="I37" i="42"/>
  <c r="I38" i="42" s="1"/>
  <c r="H37" i="42"/>
  <c r="H38" i="42" s="1"/>
  <c r="G37" i="42"/>
  <c r="G38" i="42" s="1"/>
  <c r="F37" i="42"/>
  <c r="F38" i="42" s="1"/>
  <c r="E37" i="42"/>
  <c r="E38" i="42" s="1"/>
  <c r="D37" i="42"/>
  <c r="D38" i="42" s="1"/>
  <c r="K35" i="42"/>
  <c r="K36" i="42" s="1"/>
  <c r="J35" i="42"/>
  <c r="J36" i="42" s="1"/>
  <c r="I35" i="42"/>
  <c r="I36" i="42" s="1"/>
  <c r="H35" i="42"/>
  <c r="H36" i="42" s="1"/>
  <c r="G35" i="42"/>
  <c r="G36" i="42" s="1"/>
  <c r="F35" i="42"/>
  <c r="F36" i="42" s="1"/>
  <c r="E35" i="42"/>
  <c r="E36" i="42" s="1"/>
  <c r="D35" i="42"/>
  <c r="D36" i="42" s="1"/>
  <c r="K33" i="42"/>
  <c r="K34" i="42" s="1"/>
  <c r="J33" i="42"/>
  <c r="J34" i="42" s="1"/>
  <c r="I33" i="42"/>
  <c r="I34" i="42" s="1"/>
  <c r="H33" i="42"/>
  <c r="H34" i="42" s="1"/>
  <c r="G33" i="42"/>
  <c r="G34" i="42" s="1"/>
  <c r="F33" i="42"/>
  <c r="F34" i="42" s="1"/>
  <c r="E33" i="42"/>
  <c r="E34" i="42" s="1"/>
  <c r="D33" i="42"/>
  <c r="D34" i="42" s="1"/>
  <c r="K31" i="42"/>
  <c r="K32" i="42" s="1"/>
  <c r="J31" i="42"/>
  <c r="J32" i="42" s="1"/>
  <c r="I31" i="42"/>
  <c r="I32" i="42" s="1"/>
  <c r="H31" i="42"/>
  <c r="H32" i="42" s="1"/>
  <c r="G31" i="42"/>
  <c r="G32" i="42" s="1"/>
  <c r="F31" i="42"/>
  <c r="F32" i="42" s="1"/>
  <c r="E31" i="42"/>
  <c r="E32" i="42" s="1"/>
  <c r="D31" i="42"/>
  <c r="D32" i="42" s="1"/>
  <c r="K29" i="42"/>
  <c r="K30" i="42" s="1"/>
  <c r="J29" i="42"/>
  <c r="J30" i="42" s="1"/>
  <c r="I29" i="42"/>
  <c r="I30" i="42" s="1"/>
  <c r="H29" i="42"/>
  <c r="H30" i="42" s="1"/>
  <c r="G29" i="42"/>
  <c r="G30" i="42" s="1"/>
  <c r="F29" i="42"/>
  <c r="F30" i="42" s="1"/>
  <c r="E29" i="42"/>
  <c r="E30" i="42" s="1"/>
  <c r="D29" i="42"/>
  <c r="D30" i="42" s="1"/>
  <c r="K27" i="42"/>
  <c r="K28" i="42" s="1"/>
  <c r="J27" i="42"/>
  <c r="J28" i="42" s="1"/>
  <c r="I27" i="42"/>
  <c r="I28" i="42" s="1"/>
  <c r="H27" i="42"/>
  <c r="H28" i="42" s="1"/>
  <c r="G27" i="42"/>
  <c r="G28" i="42" s="1"/>
  <c r="F27" i="42"/>
  <c r="F28" i="42" s="1"/>
  <c r="E27" i="42"/>
  <c r="E28" i="42" s="1"/>
  <c r="D27" i="42"/>
  <c r="D28" i="42" s="1"/>
  <c r="K25" i="42"/>
  <c r="K26" i="42" s="1"/>
  <c r="J25" i="42"/>
  <c r="J26" i="42" s="1"/>
  <c r="I25" i="42"/>
  <c r="I26" i="42" s="1"/>
  <c r="H25" i="42"/>
  <c r="H26" i="42" s="1"/>
  <c r="G25" i="42"/>
  <c r="G26" i="42" s="1"/>
  <c r="F25" i="42"/>
  <c r="F26" i="42" s="1"/>
  <c r="E25" i="42"/>
  <c r="E26" i="42" s="1"/>
  <c r="D25" i="42"/>
  <c r="D26" i="42" s="1"/>
  <c r="K23" i="42"/>
  <c r="K24" i="42" s="1"/>
  <c r="J23" i="42"/>
  <c r="J24" i="42" s="1"/>
  <c r="I23" i="42"/>
  <c r="I24" i="42" s="1"/>
  <c r="H23" i="42"/>
  <c r="H24" i="42" s="1"/>
  <c r="G23" i="42"/>
  <c r="G24" i="42" s="1"/>
  <c r="F23" i="42"/>
  <c r="F24" i="42" s="1"/>
  <c r="E23" i="42"/>
  <c r="E24" i="42" s="1"/>
  <c r="D23" i="42"/>
  <c r="D24" i="42" s="1"/>
  <c r="K21" i="42"/>
  <c r="K22" i="42" s="1"/>
  <c r="J21" i="42"/>
  <c r="J22" i="42" s="1"/>
  <c r="I21" i="42"/>
  <c r="I22" i="42" s="1"/>
  <c r="H21" i="42"/>
  <c r="H22" i="42" s="1"/>
  <c r="G21" i="42"/>
  <c r="G22" i="42" s="1"/>
  <c r="F21" i="42"/>
  <c r="F22" i="42" s="1"/>
  <c r="E21" i="42"/>
  <c r="E22" i="42" s="1"/>
  <c r="D21" i="42"/>
  <c r="D22" i="42" s="1"/>
  <c r="K19" i="42"/>
  <c r="K20" i="42" s="1"/>
  <c r="J19" i="42"/>
  <c r="J20" i="42" s="1"/>
  <c r="I19" i="42"/>
  <c r="I20" i="42" s="1"/>
  <c r="H19" i="42"/>
  <c r="H20" i="42" s="1"/>
  <c r="G19" i="42"/>
  <c r="G20" i="42" s="1"/>
  <c r="F19" i="42"/>
  <c r="F20" i="42" s="1"/>
  <c r="E19" i="42"/>
  <c r="E20" i="42" s="1"/>
  <c r="D19" i="42"/>
  <c r="D20" i="42" s="1"/>
  <c r="K17" i="42"/>
  <c r="K18" i="42" s="1"/>
  <c r="J17" i="42"/>
  <c r="J18" i="42" s="1"/>
  <c r="I17" i="42"/>
  <c r="I18" i="42" s="1"/>
  <c r="H17" i="42"/>
  <c r="H18" i="42" s="1"/>
  <c r="G17" i="42"/>
  <c r="G18" i="42" s="1"/>
  <c r="F17" i="42"/>
  <c r="F18" i="42" s="1"/>
  <c r="E17" i="42"/>
  <c r="E18" i="42" s="1"/>
  <c r="D17" i="42"/>
  <c r="H16" i="42"/>
  <c r="D16" i="42"/>
  <c r="B12" i="42"/>
  <c r="H10" i="42"/>
  <c r="E10" i="42"/>
  <c r="B10" i="42"/>
  <c r="B8" i="42"/>
  <c r="B7" i="42"/>
  <c r="B59" i="41"/>
  <c r="K58" i="41"/>
  <c r="B58" i="41"/>
  <c r="K55" i="41"/>
  <c r="K56" i="41" s="1"/>
  <c r="J55" i="41"/>
  <c r="J56" i="41" s="1"/>
  <c r="I55" i="41"/>
  <c r="I56" i="41" s="1"/>
  <c r="H55" i="41"/>
  <c r="H56" i="41" s="1"/>
  <c r="G55" i="41"/>
  <c r="G56" i="41" s="1"/>
  <c r="F55" i="41"/>
  <c r="F56" i="41" s="1"/>
  <c r="E55" i="41"/>
  <c r="E56" i="41" s="1"/>
  <c r="D55" i="41"/>
  <c r="D56" i="41" s="1"/>
  <c r="K53" i="41"/>
  <c r="K54" i="41" s="1"/>
  <c r="J53" i="41"/>
  <c r="J54" i="41" s="1"/>
  <c r="I53" i="41"/>
  <c r="I54" i="41" s="1"/>
  <c r="H53" i="41"/>
  <c r="H54" i="41" s="1"/>
  <c r="G53" i="41"/>
  <c r="G54" i="41" s="1"/>
  <c r="F53" i="41"/>
  <c r="F54" i="41" s="1"/>
  <c r="E53" i="41"/>
  <c r="E54" i="41" s="1"/>
  <c r="D53" i="41"/>
  <c r="D54" i="41" s="1"/>
  <c r="K51" i="41"/>
  <c r="K52" i="41" s="1"/>
  <c r="J51" i="41"/>
  <c r="J52" i="41" s="1"/>
  <c r="I51" i="41"/>
  <c r="I52" i="41" s="1"/>
  <c r="H51" i="41"/>
  <c r="H52" i="41" s="1"/>
  <c r="G51" i="41"/>
  <c r="G52" i="41" s="1"/>
  <c r="F51" i="41"/>
  <c r="F52" i="41" s="1"/>
  <c r="E51" i="41"/>
  <c r="E52" i="41" s="1"/>
  <c r="D51" i="41"/>
  <c r="D52" i="41" s="1"/>
  <c r="K49" i="41"/>
  <c r="K50" i="41" s="1"/>
  <c r="J49" i="41"/>
  <c r="J50" i="41" s="1"/>
  <c r="I49" i="41"/>
  <c r="I50" i="41" s="1"/>
  <c r="H49" i="41"/>
  <c r="H50" i="41" s="1"/>
  <c r="G49" i="41"/>
  <c r="G50" i="41" s="1"/>
  <c r="F49" i="41"/>
  <c r="F50" i="41" s="1"/>
  <c r="E49" i="41"/>
  <c r="E50" i="41" s="1"/>
  <c r="D49" i="41"/>
  <c r="D50" i="41" s="1"/>
  <c r="K47" i="41"/>
  <c r="K48" i="41" s="1"/>
  <c r="J47" i="41"/>
  <c r="J48" i="41" s="1"/>
  <c r="I47" i="41"/>
  <c r="I48" i="41" s="1"/>
  <c r="H47" i="41"/>
  <c r="H48" i="41" s="1"/>
  <c r="G47" i="41"/>
  <c r="G48" i="41" s="1"/>
  <c r="F47" i="41"/>
  <c r="F48" i="41" s="1"/>
  <c r="E47" i="41"/>
  <c r="E48" i="41" s="1"/>
  <c r="D47" i="41"/>
  <c r="D48" i="41" s="1"/>
  <c r="K45" i="41"/>
  <c r="K46" i="41" s="1"/>
  <c r="J45" i="41"/>
  <c r="J46" i="41" s="1"/>
  <c r="I45" i="41"/>
  <c r="I46" i="41" s="1"/>
  <c r="H45" i="41"/>
  <c r="H46" i="41" s="1"/>
  <c r="G45" i="41"/>
  <c r="G46" i="41" s="1"/>
  <c r="F45" i="41"/>
  <c r="F46" i="41" s="1"/>
  <c r="E45" i="41"/>
  <c r="E46" i="41" s="1"/>
  <c r="D45" i="41"/>
  <c r="D46" i="41" s="1"/>
  <c r="K43" i="41"/>
  <c r="K44" i="41" s="1"/>
  <c r="J43" i="41"/>
  <c r="J44" i="41" s="1"/>
  <c r="I43" i="41"/>
  <c r="I44" i="41" s="1"/>
  <c r="H43" i="41"/>
  <c r="H44" i="41" s="1"/>
  <c r="G43" i="41"/>
  <c r="G44" i="41" s="1"/>
  <c r="F43" i="41"/>
  <c r="F44" i="41" s="1"/>
  <c r="E43" i="41"/>
  <c r="E44" i="41" s="1"/>
  <c r="D43" i="41"/>
  <c r="D44" i="41" s="1"/>
  <c r="K41" i="41"/>
  <c r="K42" i="41" s="1"/>
  <c r="J41" i="41"/>
  <c r="J42" i="41" s="1"/>
  <c r="I41" i="41"/>
  <c r="I42" i="41" s="1"/>
  <c r="H41" i="41"/>
  <c r="H42" i="41" s="1"/>
  <c r="G41" i="41"/>
  <c r="G42" i="41" s="1"/>
  <c r="F41" i="41"/>
  <c r="F42" i="41" s="1"/>
  <c r="E41" i="41"/>
  <c r="E42" i="41" s="1"/>
  <c r="D41" i="41"/>
  <c r="D42" i="41" s="1"/>
  <c r="K39" i="41"/>
  <c r="K40" i="41" s="1"/>
  <c r="J39" i="41"/>
  <c r="J40" i="41" s="1"/>
  <c r="I39" i="41"/>
  <c r="I40" i="41" s="1"/>
  <c r="H39" i="41"/>
  <c r="H40" i="41" s="1"/>
  <c r="G39" i="41"/>
  <c r="G40" i="41" s="1"/>
  <c r="F39" i="41"/>
  <c r="F40" i="41" s="1"/>
  <c r="E39" i="41"/>
  <c r="E40" i="41" s="1"/>
  <c r="D39" i="41"/>
  <c r="D40" i="41" s="1"/>
  <c r="K37" i="41"/>
  <c r="K38" i="41" s="1"/>
  <c r="J37" i="41"/>
  <c r="J38" i="41" s="1"/>
  <c r="I37" i="41"/>
  <c r="I38" i="41" s="1"/>
  <c r="H37" i="41"/>
  <c r="H38" i="41" s="1"/>
  <c r="G37" i="41"/>
  <c r="G38" i="41" s="1"/>
  <c r="F37" i="41"/>
  <c r="F38" i="41" s="1"/>
  <c r="E37" i="41"/>
  <c r="E38" i="41" s="1"/>
  <c r="D37" i="41"/>
  <c r="D38" i="41" s="1"/>
  <c r="K35" i="41"/>
  <c r="K36" i="41" s="1"/>
  <c r="J35" i="41"/>
  <c r="J36" i="41" s="1"/>
  <c r="I35" i="41"/>
  <c r="I36" i="41" s="1"/>
  <c r="H35" i="41"/>
  <c r="H36" i="41" s="1"/>
  <c r="G35" i="41"/>
  <c r="G36" i="41" s="1"/>
  <c r="F35" i="41"/>
  <c r="F36" i="41" s="1"/>
  <c r="E35" i="41"/>
  <c r="E36" i="41" s="1"/>
  <c r="D35" i="41"/>
  <c r="D36" i="41" s="1"/>
  <c r="K33" i="41"/>
  <c r="K34" i="41" s="1"/>
  <c r="J33" i="41"/>
  <c r="J34" i="41" s="1"/>
  <c r="I33" i="41"/>
  <c r="I34" i="41" s="1"/>
  <c r="H33" i="41"/>
  <c r="H34" i="41" s="1"/>
  <c r="G33" i="41"/>
  <c r="G34" i="41" s="1"/>
  <c r="F33" i="41"/>
  <c r="F34" i="41" s="1"/>
  <c r="E33" i="41"/>
  <c r="E34" i="41" s="1"/>
  <c r="D33" i="41"/>
  <c r="D34" i="41" s="1"/>
  <c r="K31" i="41"/>
  <c r="K32" i="41" s="1"/>
  <c r="J31" i="41"/>
  <c r="J32" i="41" s="1"/>
  <c r="I31" i="41"/>
  <c r="I32" i="41" s="1"/>
  <c r="H31" i="41"/>
  <c r="H32" i="41" s="1"/>
  <c r="G31" i="41"/>
  <c r="G32" i="41" s="1"/>
  <c r="F31" i="41"/>
  <c r="F32" i="41" s="1"/>
  <c r="E31" i="41"/>
  <c r="E32" i="41" s="1"/>
  <c r="D31" i="41"/>
  <c r="D32" i="41" s="1"/>
  <c r="K29" i="41"/>
  <c r="K30" i="41" s="1"/>
  <c r="J29" i="41"/>
  <c r="J30" i="41" s="1"/>
  <c r="I29" i="41"/>
  <c r="I30" i="41" s="1"/>
  <c r="H29" i="41"/>
  <c r="H30" i="41" s="1"/>
  <c r="G29" i="41"/>
  <c r="G30" i="41" s="1"/>
  <c r="F29" i="41"/>
  <c r="F30" i="41" s="1"/>
  <c r="E29" i="41"/>
  <c r="E30" i="41" s="1"/>
  <c r="D29" i="41"/>
  <c r="D30" i="41" s="1"/>
  <c r="K27" i="41"/>
  <c r="K28" i="41" s="1"/>
  <c r="J27" i="41"/>
  <c r="J28" i="41" s="1"/>
  <c r="I27" i="41"/>
  <c r="I28" i="41" s="1"/>
  <c r="H27" i="41"/>
  <c r="H28" i="41" s="1"/>
  <c r="G27" i="41"/>
  <c r="G28" i="41" s="1"/>
  <c r="F27" i="41"/>
  <c r="F28" i="41" s="1"/>
  <c r="E27" i="41"/>
  <c r="E28" i="41" s="1"/>
  <c r="D27" i="41"/>
  <c r="D28" i="41" s="1"/>
  <c r="K25" i="41"/>
  <c r="K26" i="41" s="1"/>
  <c r="J25" i="41"/>
  <c r="J26" i="41" s="1"/>
  <c r="I25" i="41"/>
  <c r="I26" i="41" s="1"/>
  <c r="H25" i="41"/>
  <c r="H26" i="41" s="1"/>
  <c r="G25" i="41"/>
  <c r="G26" i="41" s="1"/>
  <c r="F25" i="41"/>
  <c r="F26" i="41" s="1"/>
  <c r="E25" i="41"/>
  <c r="E26" i="41" s="1"/>
  <c r="D25" i="41"/>
  <c r="D26" i="41" s="1"/>
  <c r="K23" i="41"/>
  <c r="K24" i="41" s="1"/>
  <c r="J23" i="41"/>
  <c r="J24" i="41" s="1"/>
  <c r="I23" i="41"/>
  <c r="I24" i="41" s="1"/>
  <c r="H23" i="41"/>
  <c r="H24" i="41" s="1"/>
  <c r="G23" i="41"/>
  <c r="G24" i="41" s="1"/>
  <c r="F23" i="41"/>
  <c r="F24" i="41" s="1"/>
  <c r="E23" i="41"/>
  <c r="E24" i="41" s="1"/>
  <c r="D23" i="41"/>
  <c r="D24" i="41" s="1"/>
  <c r="K21" i="41"/>
  <c r="K22" i="41" s="1"/>
  <c r="J21" i="41"/>
  <c r="J22" i="41" s="1"/>
  <c r="I21" i="41"/>
  <c r="I22" i="41" s="1"/>
  <c r="H21" i="41"/>
  <c r="H22" i="41" s="1"/>
  <c r="G21" i="41"/>
  <c r="G22" i="41" s="1"/>
  <c r="F21" i="41"/>
  <c r="F22" i="41" s="1"/>
  <c r="E21" i="41"/>
  <c r="E22" i="41" s="1"/>
  <c r="D21" i="41"/>
  <c r="D22" i="41" s="1"/>
  <c r="K19" i="41"/>
  <c r="K20" i="41" s="1"/>
  <c r="J19" i="41"/>
  <c r="J20" i="41" s="1"/>
  <c r="I19" i="41"/>
  <c r="I20" i="41" s="1"/>
  <c r="H19" i="41"/>
  <c r="H20" i="41" s="1"/>
  <c r="G19" i="41"/>
  <c r="G20" i="41" s="1"/>
  <c r="F19" i="41"/>
  <c r="F20" i="41" s="1"/>
  <c r="E19" i="41"/>
  <c r="E20" i="41" s="1"/>
  <c r="D19" i="41"/>
  <c r="D20" i="41" s="1"/>
  <c r="K17" i="41"/>
  <c r="K18" i="41" s="1"/>
  <c r="J17" i="41"/>
  <c r="J18" i="41" s="1"/>
  <c r="I17" i="41"/>
  <c r="I18" i="41" s="1"/>
  <c r="H17" i="41"/>
  <c r="H18" i="41" s="1"/>
  <c r="G17" i="41"/>
  <c r="G18" i="41" s="1"/>
  <c r="F17" i="41"/>
  <c r="F18" i="41" s="1"/>
  <c r="E17" i="41"/>
  <c r="E18" i="41" s="1"/>
  <c r="D17" i="41"/>
  <c r="H16" i="41"/>
  <c r="D16" i="41"/>
  <c r="B12" i="41"/>
  <c r="H10" i="41"/>
  <c r="E10" i="41"/>
  <c r="B10" i="41"/>
  <c r="B8" i="41"/>
  <c r="B7" i="41"/>
  <c r="B59" i="40"/>
  <c r="J58" i="40"/>
  <c r="B58" i="40"/>
  <c r="J55" i="40"/>
  <c r="J56" i="40" s="1"/>
  <c r="I55" i="40"/>
  <c r="I56" i="40" s="1"/>
  <c r="H55" i="40"/>
  <c r="H56" i="40" s="1"/>
  <c r="G55" i="40"/>
  <c r="G56" i="40" s="1"/>
  <c r="F55" i="40"/>
  <c r="F56" i="40" s="1"/>
  <c r="E55" i="40"/>
  <c r="E56" i="40" s="1"/>
  <c r="D55" i="40"/>
  <c r="D56" i="40" s="1"/>
  <c r="J53" i="40"/>
  <c r="J54" i="40" s="1"/>
  <c r="I53" i="40"/>
  <c r="I54" i="40" s="1"/>
  <c r="H53" i="40"/>
  <c r="H54" i="40" s="1"/>
  <c r="G53" i="40"/>
  <c r="G54" i="40" s="1"/>
  <c r="F53" i="40"/>
  <c r="F54" i="40" s="1"/>
  <c r="E53" i="40"/>
  <c r="E54" i="40" s="1"/>
  <c r="D53" i="40"/>
  <c r="D54" i="40" s="1"/>
  <c r="J51" i="40"/>
  <c r="J52" i="40" s="1"/>
  <c r="I51" i="40"/>
  <c r="I52" i="40" s="1"/>
  <c r="H51" i="40"/>
  <c r="H52" i="40" s="1"/>
  <c r="G51" i="40"/>
  <c r="G52" i="40" s="1"/>
  <c r="F51" i="40"/>
  <c r="F52" i="40" s="1"/>
  <c r="E51" i="40"/>
  <c r="E52" i="40" s="1"/>
  <c r="D51" i="40"/>
  <c r="D52" i="40" s="1"/>
  <c r="J49" i="40"/>
  <c r="J50" i="40" s="1"/>
  <c r="I49" i="40"/>
  <c r="I50" i="40" s="1"/>
  <c r="H49" i="40"/>
  <c r="H50" i="40" s="1"/>
  <c r="G49" i="40"/>
  <c r="G50" i="40" s="1"/>
  <c r="F49" i="40"/>
  <c r="F50" i="40" s="1"/>
  <c r="E49" i="40"/>
  <c r="E50" i="40" s="1"/>
  <c r="D49" i="40"/>
  <c r="D50" i="40" s="1"/>
  <c r="J47" i="40"/>
  <c r="J48" i="40" s="1"/>
  <c r="I47" i="40"/>
  <c r="I48" i="40" s="1"/>
  <c r="H47" i="40"/>
  <c r="H48" i="40" s="1"/>
  <c r="G47" i="40"/>
  <c r="G48" i="40" s="1"/>
  <c r="F47" i="40"/>
  <c r="F48" i="40" s="1"/>
  <c r="E47" i="40"/>
  <c r="E48" i="40" s="1"/>
  <c r="D47" i="40"/>
  <c r="D48" i="40" s="1"/>
  <c r="J45" i="40"/>
  <c r="J46" i="40" s="1"/>
  <c r="I45" i="40"/>
  <c r="I46" i="40" s="1"/>
  <c r="H45" i="40"/>
  <c r="H46" i="40" s="1"/>
  <c r="G45" i="40"/>
  <c r="G46" i="40" s="1"/>
  <c r="F45" i="40"/>
  <c r="F46" i="40" s="1"/>
  <c r="E45" i="40"/>
  <c r="E46" i="40" s="1"/>
  <c r="D45" i="40"/>
  <c r="D46" i="40" s="1"/>
  <c r="J43" i="40"/>
  <c r="J44" i="40" s="1"/>
  <c r="I43" i="40"/>
  <c r="I44" i="40" s="1"/>
  <c r="H43" i="40"/>
  <c r="H44" i="40" s="1"/>
  <c r="G43" i="40"/>
  <c r="G44" i="40" s="1"/>
  <c r="F43" i="40"/>
  <c r="F44" i="40" s="1"/>
  <c r="E43" i="40"/>
  <c r="E44" i="40" s="1"/>
  <c r="D43" i="40"/>
  <c r="D44" i="40" s="1"/>
  <c r="J41" i="40"/>
  <c r="J42" i="40" s="1"/>
  <c r="I41" i="40"/>
  <c r="I42" i="40" s="1"/>
  <c r="H41" i="40"/>
  <c r="H42" i="40" s="1"/>
  <c r="G41" i="40"/>
  <c r="G42" i="40" s="1"/>
  <c r="F41" i="40"/>
  <c r="F42" i="40" s="1"/>
  <c r="E41" i="40"/>
  <c r="E42" i="40" s="1"/>
  <c r="D41" i="40"/>
  <c r="D42" i="40" s="1"/>
  <c r="J39" i="40"/>
  <c r="J40" i="40" s="1"/>
  <c r="I39" i="40"/>
  <c r="I40" i="40" s="1"/>
  <c r="H39" i="40"/>
  <c r="H40" i="40" s="1"/>
  <c r="G39" i="40"/>
  <c r="G40" i="40" s="1"/>
  <c r="F39" i="40"/>
  <c r="F40" i="40" s="1"/>
  <c r="E39" i="40"/>
  <c r="E40" i="40" s="1"/>
  <c r="D39" i="40"/>
  <c r="D40" i="40" s="1"/>
  <c r="J37" i="40"/>
  <c r="J38" i="40" s="1"/>
  <c r="I37" i="40"/>
  <c r="I38" i="40" s="1"/>
  <c r="H37" i="40"/>
  <c r="H38" i="40" s="1"/>
  <c r="G37" i="40"/>
  <c r="G38" i="40" s="1"/>
  <c r="F37" i="40"/>
  <c r="F38" i="40" s="1"/>
  <c r="E37" i="40"/>
  <c r="E38" i="40" s="1"/>
  <c r="D37" i="40"/>
  <c r="D38" i="40" s="1"/>
  <c r="J35" i="40"/>
  <c r="J36" i="40" s="1"/>
  <c r="I35" i="40"/>
  <c r="I36" i="40" s="1"/>
  <c r="H35" i="40"/>
  <c r="H36" i="40" s="1"/>
  <c r="G35" i="40"/>
  <c r="G36" i="40" s="1"/>
  <c r="F35" i="40"/>
  <c r="F36" i="40" s="1"/>
  <c r="E35" i="40"/>
  <c r="E36" i="40" s="1"/>
  <c r="D35" i="40"/>
  <c r="D36" i="40" s="1"/>
  <c r="J33" i="40"/>
  <c r="J34" i="40" s="1"/>
  <c r="I33" i="40"/>
  <c r="I34" i="40" s="1"/>
  <c r="H33" i="40"/>
  <c r="H34" i="40" s="1"/>
  <c r="G33" i="40"/>
  <c r="G34" i="40" s="1"/>
  <c r="F33" i="40"/>
  <c r="F34" i="40" s="1"/>
  <c r="E33" i="40"/>
  <c r="E34" i="40" s="1"/>
  <c r="D33" i="40"/>
  <c r="D34" i="40" s="1"/>
  <c r="J31" i="40"/>
  <c r="J32" i="40" s="1"/>
  <c r="I31" i="40"/>
  <c r="I32" i="40" s="1"/>
  <c r="H31" i="40"/>
  <c r="H32" i="40" s="1"/>
  <c r="G31" i="40"/>
  <c r="G32" i="40" s="1"/>
  <c r="F31" i="40"/>
  <c r="F32" i="40" s="1"/>
  <c r="E31" i="40"/>
  <c r="E32" i="40" s="1"/>
  <c r="D31" i="40"/>
  <c r="D32" i="40" s="1"/>
  <c r="J29" i="40"/>
  <c r="J30" i="40" s="1"/>
  <c r="I29" i="40"/>
  <c r="I30" i="40" s="1"/>
  <c r="H29" i="40"/>
  <c r="H30" i="40" s="1"/>
  <c r="G29" i="40"/>
  <c r="G30" i="40" s="1"/>
  <c r="F29" i="40"/>
  <c r="F30" i="40" s="1"/>
  <c r="E29" i="40"/>
  <c r="E30" i="40" s="1"/>
  <c r="D29" i="40"/>
  <c r="D30" i="40" s="1"/>
  <c r="J27" i="40"/>
  <c r="J28" i="40" s="1"/>
  <c r="I27" i="40"/>
  <c r="I28" i="40" s="1"/>
  <c r="H27" i="40"/>
  <c r="H28" i="40" s="1"/>
  <c r="G27" i="40"/>
  <c r="G28" i="40" s="1"/>
  <c r="F27" i="40"/>
  <c r="F28" i="40" s="1"/>
  <c r="E27" i="40"/>
  <c r="E28" i="40" s="1"/>
  <c r="D27" i="40"/>
  <c r="D28" i="40" s="1"/>
  <c r="J25" i="40"/>
  <c r="J26" i="40" s="1"/>
  <c r="I25" i="40"/>
  <c r="I26" i="40" s="1"/>
  <c r="H25" i="40"/>
  <c r="H26" i="40" s="1"/>
  <c r="G25" i="40"/>
  <c r="G26" i="40" s="1"/>
  <c r="F25" i="40"/>
  <c r="F26" i="40" s="1"/>
  <c r="E25" i="40"/>
  <c r="E26" i="40" s="1"/>
  <c r="D25" i="40"/>
  <c r="D26" i="40" s="1"/>
  <c r="J23" i="40"/>
  <c r="J24" i="40" s="1"/>
  <c r="I23" i="40"/>
  <c r="I24" i="40" s="1"/>
  <c r="H23" i="40"/>
  <c r="H24" i="40" s="1"/>
  <c r="G23" i="40"/>
  <c r="G24" i="40" s="1"/>
  <c r="F23" i="40"/>
  <c r="F24" i="40" s="1"/>
  <c r="E23" i="40"/>
  <c r="E24" i="40" s="1"/>
  <c r="D23" i="40"/>
  <c r="D24" i="40" s="1"/>
  <c r="J21" i="40"/>
  <c r="J22" i="40" s="1"/>
  <c r="I21" i="40"/>
  <c r="I22" i="40" s="1"/>
  <c r="H21" i="40"/>
  <c r="H22" i="40" s="1"/>
  <c r="G21" i="40"/>
  <c r="G22" i="40" s="1"/>
  <c r="F21" i="40"/>
  <c r="F22" i="40" s="1"/>
  <c r="E21" i="40"/>
  <c r="E22" i="40" s="1"/>
  <c r="D21" i="40"/>
  <c r="D22" i="40" s="1"/>
  <c r="J19" i="40"/>
  <c r="J20" i="40" s="1"/>
  <c r="I19" i="40"/>
  <c r="I20" i="40" s="1"/>
  <c r="H19" i="40"/>
  <c r="H20" i="40" s="1"/>
  <c r="G19" i="40"/>
  <c r="G20" i="40" s="1"/>
  <c r="F19" i="40"/>
  <c r="F20" i="40" s="1"/>
  <c r="E19" i="40"/>
  <c r="E20" i="40" s="1"/>
  <c r="D19" i="40"/>
  <c r="D20" i="40" s="1"/>
  <c r="J17" i="40"/>
  <c r="J18" i="40" s="1"/>
  <c r="I17" i="40"/>
  <c r="I18" i="40" s="1"/>
  <c r="H17" i="40"/>
  <c r="H18" i="40" s="1"/>
  <c r="G17" i="40"/>
  <c r="G18" i="40" s="1"/>
  <c r="F17" i="40"/>
  <c r="F18" i="40" s="1"/>
  <c r="E17" i="40"/>
  <c r="E18" i="40" s="1"/>
  <c r="D17" i="40"/>
  <c r="G16" i="40"/>
  <c r="D16" i="40"/>
  <c r="B12" i="40"/>
  <c r="G10" i="40"/>
  <c r="D10" i="40"/>
  <c r="B10" i="40"/>
  <c r="B8" i="40"/>
  <c r="B7" i="40"/>
  <c r="B59" i="39"/>
  <c r="J58" i="39"/>
  <c r="B58" i="39"/>
  <c r="J55" i="39"/>
  <c r="J56" i="39" s="1"/>
  <c r="I55" i="39"/>
  <c r="I56" i="39" s="1"/>
  <c r="H55" i="39"/>
  <c r="H56" i="39" s="1"/>
  <c r="G55" i="39"/>
  <c r="G56" i="39" s="1"/>
  <c r="F55" i="39"/>
  <c r="F56" i="39" s="1"/>
  <c r="E55" i="39"/>
  <c r="E56" i="39" s="1"/>
  <c r="D55" i="39"/>
  <c r="D56" i="39" s="1"/>
  <c r="J53" i="39"/>
  <c r="J54" i="39" s="1"/>
  <c r="I53" i="39"/>
  <c r="I54" i="39" s="1"/>
  <c r="H53" i="39"/>
  <c r="H54" i="39" s="1"/>
  <c r="G53" i="39"/>
  <c r="G54" i="39" s="1"/>
  <c r="F53" i="39"/>
  <c r="F54" i="39" s="1"/>
  <c r="E53" i="39"/>
  <c r="E54" i="39" s="1"/>
  <c r="D53" i="39"/>
  <c r="D54" i="39" s="1"/>
  <c r="J51" i="39"/>
  <c r="J52" i="39" s="1"/>
  <c r="I51" i="39"/>
  <c r="I52" i="39" s="1"/>
  <c r="H51" i="39"/>
  <c r="H52" i="39" s="1"/>
  <c r="G51" i="39"/>
  <c r="G52" i="39" s="1"/>
  <c r="F51" i="39"/>
  <c r="F52" i="39" s="1"/>
  <c r="E51" i="39"/>
  <c r="E52" i="39" s="1"/>
  <c r="D51" i="39"/>
  <c r="D52" i="39" s="1"/>
  <c r="J49" i="39"/>
  <c r="J50" i="39" s="1"/>
  <c r="I49" i="39"/>
  <c r="I50" i="39" s="1"/>
  <c r="H49" i="39"/>
  <c r="H50" i="39" s="1"/>
  <c r="G49" i="39"/>
  <c r="G50" i="39" s="1"/>
  <c r="F49" i="39"/>
  <c r="F50" i="39" s="1"/>
  <c r="E49" i="39"/>
  <c r="E50" i="39" s="1"/>
  <c r="D49" i="39"/>
  <c r="D50" i="39" s="1"/>
  <c r="J47" i="39"/>
  <c r="J48" i="39" s="1"/>
  <c r="I47" i="39"/>
  <c r="I48" i="39" s="1"/>
  <c r="H47" i="39"/>
  <c r="H48" i="39" s="1"/>
  <c r="G47" i="39"/>
  <c r="G48" i="39" s="1"/>
  <c r="F47" i="39"/>
  <c r="F48" i="39" s="1"/>
  <c r="E47" i="39"/>
  <c r="E48" i="39" s="1"/>
  <c r="D47" i="39"/>
  <c r="D48" i="39" s="1"/>
  <c r="J45" i="39"/>
  <c r="J46" i="39" s="1"/>
  <c r="I45" i="39"/>
  <c r="I46" i="39" s="1"/>
  <c r="H45" i="39"/>
  <c r="H46" i="39" s="1"/>
  <c r="G45" i="39"/>
  <c r="G46" i="39" s="1"/>
  <c r="F45" i="39"/>
  <c r="F46" i="39" s="1"/>
  <c r="E45" i="39"/>
  <c r="E46" i="39" s="1"/>
  <c r="D45" i="39"/>
  <c r="D46" i="39" s="1"/>
  <c r="J43" i="39"/>
  <c r="J44" i="39" s="1"/>
  <c r="I43" i="39"/>
  <c r="I44" i="39" s="1"/>
  <c r="H43" i="39"/>
  <c r="H44" i="39" s="1"/>
  <c r="G43" i="39"/>
  <c r="G44" i="39" s="1"/>
  <c r="F43" i="39"/>
  <c r="F44" i="39" s="1"/>
  <c r="E43" i="39"/>
  <c r="E44" i="39" s="1"/>
  <c r="D43" i="39"/>
  <c r="D44" i="39" s="1"/>
  <c r="J41" i="39"/>
  <c r="J42" i="39" s="1"/>
  <c r="I41" i="39"/>
  <c r="I42" i="39" s="1"/>
  <c r="H41" i="39"/>
  <c r="H42" i="39" s="1"/>
  <c r="G41" i="39"/>
  <c r="G42" i="39" s="1"/>
  <c r="F41" i="39"/>
  <c r="F42" i="39" s="1"/>
  <c r="E41" i="39"/>
  <c r="E42" i="39" s="1"/>
  <c r="D41" i="39"/>
  <c r="D42" i="39" s="1"/>
  <c r="J39" i="39"/>
  <c r="J40" i="39" s="1"/>
  <c r="I39" i="39"/>
  <c r="I40" i="39" s="1"/>
  <c r="H39" i="39"/>
  <c r="H40" i="39" s="1"/>
  <c r="G39" i="39"/>
  <c r="G40" i="39" s="1"/>
  <c r="F39" i="39"/>
  <c r="F40" i="39" s="1"/>
  <c r="E39" i="39"/>
  <c r="E40" i="39" s="1"/>
  <c r="D39" i="39"/>
  <c r="D40" i="39" s="1"/>
  <c r="J37" i="39"/>
  <c r="J38" i="39" s="1"/>
  <c r="I37" i="39"/>
  <c r="I38" i="39" s="1"/>
  <c r="H37" i="39"/>
  <c r="H38" i="39" s="1"/>
  <c r="G37" i="39"/>
  <c r="G38" i="39" s="1"/>
  <c r="F37" i="39"/>
  <c r="F38" i="39" s="1"/>
  <c r="E37" i="39"/>
  <c r="E38" i="39" s="1"/>
  <c r="D37" i="39"/>
  <c r="D38" i="39" s="1"/>
  <c r="J35" i="39"/>
  <c r="J36" i="39" s="1"/>
  <c r="I35" i="39"/>
  <c r="I36" i="39" s="1"/>
  <c r="H35" i="39"/>
  <c r="H36" i="39" s="1"/>
  <c r="G35" i="39"/>
  <c r="G36" i="39" s="1"/>
  <c r="F35" i="39"/>
  <c r="F36" i="39" s="1"/>
  <c r="E35" i="39"/>
  <c r="E36" i="39" s="1"/>
  <c r="D35" i="39"/>
  <c r="D36" i="39" s="1"/>
  <c r="J33" i="39"/>
  <c r="J34" i="39" s="1"/>
  <c r="I33" i="39"/>
  <c r="I34" i="39" s="1"/>
  <c r="H33" i="39"/>
  <c r="H34" i="39" s="1"/>
  <c r="G33" i="39"/>
  <c r="G34" i="39" s="1"/>
  <c r="F33" i="39"/>
  <c r="F34" i="39" s="1"/>
  <c r="E33" i="39"/>
  <c r="E34" i="39" s="1"/>
  <c r="D33" i="39"/>
  <c r="D34" i="39" s="1"/>
  <c r="J31" i="39"/>
  <c r="J32" i="39" s="1"/>
  <c r="I31" i="39"/>
  <c r="I32" i="39" s="1"/>
  <c r="H31" i="39"/>
  <c r="H32" i="39" s="1"/>
  <c r="G31" i="39"/>
  <c r="G32" i="39" s="1"/>
  <c r="F31" i="39"/>
  <c r="F32" i="39" s="1"/>
  <c r="E31" i="39"/>
  <c r="E32" i="39" s="1"/>
  <c r="D31" i="39"/>
  <c r="D32" i="39" s="1"/>
  <c r="J29" i="39"/>
  <c r="J30" i="39" s="1"/>
  <c r="I29" i="39"/>
  <c r="I30" i="39" s="1"/>
  <c r="H29" i="39"/>
  <c r="H30" i="39" s="1"/>
  <c r="G29" i="39"/>
  <c r="G30" i="39" s="1"/>
  <c r="F29" i="39"/>
  <c r="F30" i="39" s="1"/>
  <c r="E29" i="39"/>
  <c r="E30" i="39" s="1"/>
  <c r="D29" i="39"/>
  <c r="D30" i="39" s="1"/>
  <c r="J27" i="39"/>
  <c r="J28" i="39" s="1"/>
  <c r="I27" i="39"/>
  <c r="I28" i="39" s="1"/>
  <c r="H27" i="39"/>
  <c r="H28" i="39" s="1"/>
  <c r="G27" i="39"/>
  <c r="G28" i="39" s="1"/>
  <c r="F27" i="39"/>
  <c r="F28" i="39" s="1"/>
  <c r="E27" i="39"/>
  <c r="E28" i="39" s="1"/>
  <c r="D27" i="39"/>
  <c r="D28" i="39" s="1"/>
  <c r="J25" i="39"/>
  <c r="J26" i="39" s="1"/>
  <c r="I25" i="39"/>
  <c r="I26" i="39" s="1"/>
  <c r="H25" i="39"/>
  <c r="H26" i="39" s="1"/>
  <c r="G25" i="39"/>
  <c r="G26" i="39" s="1"/>
  <c r="F25" i="39"/>
  <c r="F26" i="39" s="1"/>
  <c r="E25" i="39"/>
  <c r="E26" i="39" s="1"/>
  <c r="D25" i="39"/>
  <c r="D26" i="39" s="1"/>
  <c r="J23" i="39"/>
  <c r="J24" i="39" s="1"/>
  <c r="I23" i="39"/>
  <c r="I24" i="39" s="1"/>
  <c r="H23" i="39"/>
  <c r="H24" i="39" s="1"/>
  <c r="G23" i="39"/>
  <c r="G24" i="39" s="1"/>
  <c r="F23" i="39"/>
  <c r="F24" i="39" s="1"/>
  <c r="E23" i="39"/>
  <c r="E24" i="39" s="1"/>
  <c r="D23" i="39"/>
  <c r="D24" i="39" s="1"/>
  <c r="J21" i="39"/>
  <c r="J22" i="39" s="1"/>
  <c r="I21" i="39"/>
  <c r="I22" i="39" s="1"/>
  <c r="H21" i="39"/>
  <c r="H22" i="39" s="1"/>
  <c r="G21" i="39"/>
  <c r="G22" i="39" s="1"/>
  <c r="F21" i="39"/>
  <c r="F22" i="39" s="1"/>
  <c r="E21" i="39"/>
  <c r="E22" i="39" s="1"/>
  <c r="D21" i="39"/>
  <c r="D22" i="39" s="1"/>
  <c r="J19" i="39"/>
  <c r="J20" i="39" s="1"/>
  <c r="I19" i="39"/>
  <c r="I20" i="39" s="1"/>
  <c r="H19" i="39"/>
  <c r="H20" i="39" s="1"/>
  <c r="G19" i="39"/>
  <c r="G20" i="39" s="1"/>
  <c r="F19" i="39"/>
  <c r="F20" i="39" s="1"/>
  <c r="E19" i="39"/>
  <c r="E20" i="39" s="1"/>
  <c r="D19" i="39"/>
  <c r="D20" i="39" s="1"/>
  <c r="J17" i="39"/>
  <c r="J18" i="39" s="1"/>
  <c r="I17" i="39"/>
  <c r="I18" i="39" s="1"/>
  <c r="H17" i="39"/>
  <c r="H18" i="39" s="1"/>
  <c r="G17" i="39"/>
  <c r="G18" i="39" s="1"/>
  <c r="F17" i="39"/>
  <c r="F18" i="39" s="1"/>
  <c r="E17" i="39"/>
  <c r="E18" i="39" s="1"/>
  <c r="D17" i="39"/>
  <c r="G16" i="39"/>
  <c r="D16" i="39"/>
  <c r="B12" i="39"/>
  <c r="G10" i="39"/>
  <c r="D10" i="39"/>
  <c r="B10" i="39"/>
  <c r="B8" i="39"/>
  <c r="B7" i="39"/>
  <c r="B38" i="37"/>
  <c r="D36" i="37"/>
  <c r="D35" i="37"/>
  <c r="D34" i="37"/>
  <c r="D33" i="37"/>
  <c r="D32" i="37"/>
  <c r="B27" i="37"/>
  <c r="B26" i="37"/>
  <c r="M25" i="37"/>
  <c r="B25" i="37"/>
  <c r="M22" i="37"/>
  <c r="M23" i="37" s="1"/>
  <c r="L22" i="37"/>
  <c r="L23" i="37" s="1"/>
  <c r="K22" i="37"/>
  <c r="K23" i="37" s="1"/>
  <c r="J22" i="37"/>
  <c r="J23" i="37" s="1"/>
  <c r="I22" i="37"/>
  <c r="I23" i="37" s="1"/>
  <c r="H22" i="37"/>
  <c r="H23" i="37" s="1"/>
  <c r="G22" i="37"/>
  <c r="G23" i="37" s="1"/>
  <c r="F22" i="37"/>
  <c r="F23" i="37" s="1"/>
  <c r="E22" i="37"/>
  <c r="E23" i="37" s="1"/>
  <c r="M20" i="37"/>
  <c r="M21" i="37" s="1"/>
  <c r="L20" i="37"/>
  <c r="L21" i="37" s="1"/>
  <c r="K20" i="37"/>
  <c r="K21" i="37" s="1"/>
  <c r="J20" i="37"/>
  <c r="J21" i="37" s="1"/>
  <c r="I20" i="37"/>
  <c r="I21" i="37" s="1"/>
  <c r="H20" i="37"/>
  <c r="H21" i="37" s="1"/>
  <c r="G20" i="37"/>
  <c r="G21" i="37" s="1"/>
  <c r="F20" i="37"/>
  <c r="F21" i="37" s="1"/>
  <c r="E20" i="37"/>
  <c r="E21" i="37" s="1"/>
  <c r="M18" i="37"/>
  <c r="M19" i="37" s="1"/>
  <c r="L18" i="37"/>
  <c r="L19" i="37" s="1"/>
  <c r="K18" i="37"/>
  <c r="K19" i="37" s="1"/>
  <c r="J18" i="37"/>
  <c r="J19" i="37" s="1"/>
  <c r="I18" i="37"/>
  <c r="I19" i="37" s="1"/>
  <c r="H18" i="37"/>
  <c r="H19" i="37" s="1"/>
  <c r="G18" i="37"/>
  <c r="G19" i="37" s="1"/>
  <c r="F18" i="37"/>
  <c r="F19" i="37" s="1"/>
  <c r="E18" i="37"/>
  <c r="I17" i="37"/>
  <c r="E17" i="37"/>
  <c r="D16" i="37"/>
  <c r="B12" i="37"/>
  <c r="K10" i="37"/>
  <c r="H10" i="37"/>
  <c r="E10" i="37"/>
  <c r="B10" i="37"/>
  <c r="B8" i="37"/>
  <c r="B7" i="37"/>
  <c r="J54" i="35"/>
  <c r="B45" i="35"/>
  <c r="D42" i="35"/>
  <c r="D41" i="35"/>
  <c r="D40" i="35"/>
  <c r="D39" i="35"/>
  <c r="D38" i="35"/>
  <c r="B32" i="35"/>
  <c r="J31" i="35"/>
  <c r="B31" i="35"/>
  <c r="J28" i="35"/>
  <c r="J29" i="35" s="1"/>
  <c r="I28" i="35"/>
  <c r="I29" i="35" s="1"/>
  <c r="H28" i="35"/>
  <c r="H29" i="35" s="1"/>
  <c r="G28" i="35"/>
  <c r="G29" i="35" s="1"/>
  <c r="F28" i="35"/>
  <c r="F29" i="35" s="1"/>
  <c r="E28" i="35"/>
  <c r="E29" i="35" s="1"/>
  <c r="J26" i="35"/>
  <c r="J27" i="35" s="1"/>
  <c r="I26" i="35"/>
  <c r="I27" i="35" s="1"/>
  <c r="H26" i="35"/>
  <c r="H27" i="35" s="1"/>
  <c r="G26" i="35"/>
  <c r="G27" i="35" s="1"/>
  <c r="F26" i="35"/>
  <c r="F27" i="35" s="1"/>
  <c r="E26" i="35"/>
  <c r="E27" i="35" s="1"/>
  <c r="J24" i="35"/>
  <c r="J25" i="35" s="1"/>
  <c r="I24" i="35"/>
  <c r="I25" i="35" s="1"/>
  <c r="H24" i="35"/>
  <c r="H25" i="35" s="1"/>
  <c r="G24" i="35"/>
  <c r="G25" i="35" s="1"/>
  <c r="F24" i="35"/>
  <c r="F25" i="35" s="1"/>
  <c r="E24" i="35"/>
  <c r="E25" i="35" s="1"/>
  <c r="J22" i="35"/>
  <c r="J23" i="35" s="1"/>
  <c r="I22" i="35"/>
  <c r="I23" i="35" s="1"/>
  <c r="H22" i="35"/>
  <c r="H23" i="35" s="1"/>
  <c r="G22" i="35"/>
  <c r="G23" i="35" s="1"/>
  <c r="F22" i="35"/>
  <c r="F23" i="35" s="1"/>
  <c r="E22" i="35"/>
  <c r="E23" i="35" s="1"/>
  <c r="J20" i="35"/>
  <c r="J21" i="35" s="1"/>
  <c r="I20" i="35"/>
  <c r="I21" i="35" s="1"/>
  <c r="H20" i="35"/>
  <c r="H21" i="35" s="1"/>
  <c r="G20" i="35"/>
  <c r="G21" i="35" s="1"/>
  <c r="F20" i="35"/>
  <c r="F21" i="35" s="1"/>
  <c r="E20" i="35"/>
  <c r="E21" i="35" s="1"/>
  <c r="J18" i="35"/>
  <c r="J19" i="35" s="1"/>
  <c r="I18" i="35"/>
  <c r="I19" i="35" s="1"/>
  <c r="H18" i="35"/>
  <c r="H19" i="35" s="1"/>
  <c r="G18" i="35"/>
  <c r="G19" i="35" s="1"/>
  <c r="F18" i="35"/>
  <c r="F19" i="35" s="1"/>
  <c r="E18" i="35"/>
  <c r="H17" i="35"/>
  <c r="E17" i="35"/>
  <c r="D16" i="35"/>
  <c r="B12" i="35"/>
  <c r="I10" i="35"/>
  <c r="G10" i="35"/>
  <c r="D10" i="35"/>
  <c r="B10" i="35"/>
  <c r="B8" i="35"/>
  <c r="B7" i="35"/>
  <c r="M56" i="33"/>
  <c r="B45" i="33"/>
  <c r="D42" i="33"/>
  <c r="D41" i="33"/>
  <c r="D40" i="33"/>
  <c r="D39" i="33"/>
  <c r="D38" i="33"/>
  <c r="B33" i="33"/>
  <c r="B32" i="33"/>
  <c r="M31" i="33"/>
  <c r="B31" i="33"/>
  <c r="M28" i="33"/>
  <c r="M29" i="33" s="1"/>
  <c r="L28" i="33"/>
  <c r="L29" i="33" s="1"/>
  <c r="K28" i="33"/>
  <c r="K29" i="33" s="1"/>
  <c r="J28" i="33"/>
  <c r="J29" i="33" s="1"/>
  <c r="I28" i="33"/>
  <c r="I29" i="33" s="1"/>
  <c r="H28" i="33"/>
  <c r="H29" i="33" s="1"/>
  <c r="G28" i="33"/>
  <c r="G29" i="33" s="1"/>
  <c r="F28" i="33"/>
  <c r="F29" i="33" s="1"/>
  <c r="E28" i="33"/>
  <c r="E29" i="33" s="1"/>
  <c r="M26" i="33"/>
  <c r="M27" i="33" s="1"/>
  <c r="L26" i="33"/>
  <c r="L27" i="33" s="1"/>
  <c r="K26" i="33"/>
  <c r="K27" i="33" s="1"/>
  <c r="J26" i="33"/>
  <c r="J27" i="33" s="1"/>
  <c r="I26" i="33"/>
  <c r="I27" i="33" s="1"/>
  <c r="H26" i="33"/>
  <c r="H27" i="33" s="1"/>
  <c r="G26" i="33"/>
  <c r="G27" i="33" s="1"/>
  <c r="F26" i="33"/>
  <c r="F27" i="33" s="1"/>
  <c r="E26" i="33"/>
  <c r="E27" i="33" s="1"/>
  <c r="M24" i="33"/>
  <c r="M25" i="33" s="1"/>
  <c r="L24" i="33"/>
  <c r="L25" i="33" s="1"/>
  <c r="K24" i="33"/>
  <c r="K25" i="33" s="1"/>
  <c r="J24" i="33"/>
  <c r="J25" i="33" s="1"/>
  <c r="I24" i="33"/>
  <c r="I25" i="33" s="1"/>
  <c r="H24" i="33"/>
  <c r="H25" i="33" s="1"/>
  <c r="G24" i="33"/>
  <c r="G25" i="33" s="1"/>
  <c r="F24" i="33"/>
  <c r="F25" i="33" s="1"/>
  <c r="E24" i="33"/>
  <c r="E25" i="33" s="1"/>
  <c r="M22" i="33"/>
  <c r="M23" i="33" s="1"/>
  <c r="L22" i="33"/>
  <c r="L23" i="33" s="1"/>
  <c r="K22" i="33"/>
  <c r="K23" i="33" s="1"/>
  <c r="J22" i="33"/>
  <c r="J23" i="33" s="1"/>
  <c r="I22" i="33"/>
  <c r="I23" i="33" s="1"/>
  <c r="H22" i="33"/>
  <c r="H23" i="33" s="1"/>
  <c r="G22" i="33"/>
  <c r="G23" i="33" s="1"/>
  <c r="F22" i="33"/>
  <c r="F23" i="33" s="1"/>
  <c r="E22" i="33"/>
  <c r="E23" i="33" s="1"/>
  <c r="M20" i="33"/>
  <c r="M21" i="33" s="1"/>
  <c r="L20" i="33"/>
  <c r="L21" i="33" s="1"/>
  <c r="K20" i="33"/>
  <c r="K21" i="33" s="1"/>
  <c r="J20" i="33"/>
  <c r="J21" i="33" s="1"/>
  <c r="I20" i="33"/>
  <c r="I21" i="33" s="1"/>
  <c r="H20" i="33"/>
  <c r="H21" i="33" s="1"/>
  <c r="G20" i="33"/>
  <c r="G21" i="33" s="1"/>
  <c r="F20" i="33"/>
  <c r="F21" i="33" s="1"/>
  <c r="E20" i="33"/>
  <c r="E21" i="33" s="1"/>
  <c r="M18" i="33"/>
  <c r="M19" i="33" s="1"/>
  <c r="L18" i="33"/>
  <c r="L19" i="33" s="1"/>
  <c r="K18" i="33"/>
  <c r="K19" i="33" s="1"/>
  <c r="J18" i="33"/>
  <c r="J19" i="33" s="1"/>
  <c r="I18" i="33"/>
  <c r="I19" i="33" s="1"/>
  <c r="H18" i="33"/>
  <c r="H19" i="33" s="1"/>
  <c r="G18" i="33"/>
  <c r="G19" i="33" s="1"/>
  <c r="F18" i="33"/>
  <c r="F19" i="33" s="1"/>
  <c r="E18" i="33"/>
  <c r="I17" i="33"/>
  <c r="E17" i="33"/>
  <c r="D16" i="33"/>
  <c r="B12" i="33"/>
  <c r="K10" i="33"/>
  <c r="J10" i="33"/>
  <c r="E10" i="33"/>
  <c r="B10" i="33"/>
  <c r="B8" i="33"/>
  <c r="B7" i="33"/>
  <c r="M54" i="32"/>
  <c r="B45" i="32"/>
  <c r="D42" i="32"/>
  <c r="D41" i="32"/>
  <c r="D40" i="32"/>
  <c r="D39" i="32"/>
  <c r="D38" i="32"/>
  <c r="B33" i="32"/>
  <c r="B32" i="32"/>
  <c r="M31" i="32"/>
  <c r="B31" i="32"/>
  <c r="M28" i="32"/>
  <c r="M29" i="32" s="1"/>
  <c r="L28" i="32"/>
  <c r="L29" i="32" s="1"/>
  <c r="K28" i="32"/>
  <c r="K29" i="32" s="1"/>
  <c r="J28" i="32"/>
  <c r="J29" i="32" s="1"/>
  <c r="I28" i="32"/>
  <c r="I29" i="32" s="1"/>
  <c r="H28" i="32"/>
  <c r="H29" i="32" s="1"/>
  <c r="G28" i="32"/>
  <c r="G29" i="32" s="1"/>
  <c r="F28" i="32"/>
  <c r="F29" i="32" s="1"/>
  <c r="E28" i="32"/>
  <c r="E29" i="32" s="1"/>
  <c r="M26" i="32"/>
  <c r="M27" i="32" s="1"/>
  <c r="L26" i="32"/>
  <c r="L27" i="32" s="1"/>
  <c r="K26" i="32"/>
  <c r="K27" i="32" s="1"/>
  <c r="J26" i="32"/>
  <c r="J27" i="32" s="1"/>
  <c r="I26" i="32"/>
  <c r="I27" i="32" s="1"/>
  <c r="H26" i="32"/>
  <c r="H27" i="32" s="1"/>
  <c r="G26" i="32"/>
  <c r="G27" i="32" s="1"/>
  <c r="F26" i="32"/>
  <c r="F27" i="32" s="1"/>
  <c r="E26" i="32"/>
  <c r="E27" i="32" s="1"/>
  <c r="M24" i="32"/>
  <c r="M25" i="32" s="1"/>
  <c r="L24" i="32"/>
  <c r="L25" i="32" s="1"/>
  <c r="K24" i="32"/>
  <c r="K25" i="32" s="1"/>
  <c r="J24" i="32"/>
  <c r="J25" i="32" s="1"/>
  <c r="I24" i="32"/>
  <c r="I25" i="32" s="1"/>
  <c r="H24" i="32"/>
  <c r="H25" i="32" s="1"/>
  <c r="G24" i="32"/>
  <c r="G25" i="32" s="1"/>
  <c r="F24" i="32"/>
  <c r="F25" i="32" s="1"/>
  <c r="E24" i="32"/>
  <c r="E25" i="32" s="1"/>
  <c r="M22" i="32"/>
  <c r="M23" i="32" s="1"/>
  <c r="L22" i="32"/>
  <c r="L23" i="32" s="1"/>
  <c r="K22" i="32"/>
  <c r="K23" i="32" s="1"/>
  <c r="J22" i="32"/>
  <c r="J23" i="32" s="1"/>
  <c r="I22" i="32"/>
  <c r="I23" i="32" s="1"/>
  <c r="H22" i="32"/>
  <c r="H23" i="32" s="1"/>
  <c r="G22" i="32"/>
  <c r="G23" i="32" s="1"/>
  <c r="F22" i="32"/>
  <c r="F23" i="32" s="1"/>
  <c r="E22" i="32"/>
  <c r="E23" i="32" s="1"/>
  <c r="M20" i="32"/>
  <c r="M21" i="32" s="1"/>
  <c r="L20" i="32"/>
  <c r="L21" i="32" s="1"/>
  <c r="K20" i="32"/>
  <c r="K21" i="32" s="1"/>
  <c r="J20" i="32"/>
  <c r="J21" i="32" s="1"/>
  <c r="I20" i="32"/>
  <c r="I21" i="32" s="1"/>
  <c r="H20" i="32"/>
  <c r="H21" i="32" s="1"/>
  <c r="G20" i="32"/>
  <c r="G21" i="32" s="1"/>
  <c r="F20" i="32"/>
  <c r="F21" i="32" s="1"/>
  <c r="E20" i="32"/>
  <c r="E21" i="32" s="1"/>
  <c r="M18" i="32"/>
  <c r="M19" i="32" s="1"/>
  <c r="L18" i="32"/>
  <c r="L19" i="32" s="1"/>
  <c r="K18" i="32"/>
  <c r="K19" i="32" s="1"/>
  <c r="J18" i="32"/>
  <c r="J19" i="32" s="1"/>
  <c r="I18" i="32"/>
  <c r="I19" i="32" s="1"/>
  <c r="H18" i="32"/>
  <c r="H19" i="32" s="1"/>
  <c r="G18" i="32"/>
  <c r="G19" i="32" s="1"/>
  <c r="F18" i="32"/>
  <c r="F19" i="32" s="1"/>
  <c r="E18" i="32"/>
  <c r="I17" i="32"/>
  <c r="E17" i="32"/>
  <c r="D16" i="32"/>
  <c r="B12" i="32"/>
  <c r="K10" i="32"/>
  <c r="J10" i="32"/>
  <c r="E10" i="32"/>
  <c r="B10" i="32"/>
  <c r="B8" i="32"/>
  <c r="B7" i="32"/>
  <c r="C36" i="29"/>
  <c r="B36" i="29"/>
  <c r="C35" i="29"/>
  <c r="B35" i="29"/>
  <c r="C34" i="29"/>
  <c r="B34" i="29"/>
  <c r="C33" i="29"/>
  <c r="B33" i="29"/>
  <c r="C32" i="29"/>
  <c r="B32" i="29"/>
  <c r="C31" i="29"/>
  <c r="B31" i="29"/>
  <c r="B29" i="29"/>
  <c r="S26" i="29"/>
  <c r="Q25" i="29"/>
  <c r="Q24" i="29"/>
  <c r="E6" i="29"/>
  <c r="D6" i="29"/>
  <c r="E5" i="29"/>
  <c r="D5" i="29"/>
  <c r="D2" i="29"/>
  <c r="B39" i="29" s="1"/>
  <c r="P17" i="28"/>
  <c r="C15" i="28"/>
  <c r="D13" i="28"/>
  <c r="C13" i="28" a="1"/>
  <c r="C13" i="28" s="1"/>
  <c r="C14" i="28" s="1"/>
  <c r="C10" i="28"/>
  <c r="K20" i="28" s="1"/>
  <c r="K21" i="25"/>
  <c r="K20" i="25"/>
  <c r="K19" i="25"/>
  <c r="K18" i="25"/>
  <c r="K17" i="25"/>
  <c r="K16" i="25"/>
  <c r="K15" i="25"/>
  <c r="K14" i="25"/>
  <c r="K13" i="25"/>
  <c r="K12" i="25"/>
  <c r="K11" i="25"/>
  <c r="K10" i="25"/>
  <c r="K9" i="25"/>
  <c r="K8" i="25"/>
  <c r="K7" i="25"/>
  <c r="K6" i="25"/>
  <c r="K5" i="25"/>
  <c r="K4" i="25"/>
  <c r="K3" i="25"/>
  <c r="K2" i="25"/>
  <c r="K38" i="28" a="1"/>
  <c r="Q32" i="29" l="1"/>
  <c r="R32" i="29" s="1"/>
  <c r="K32" i="29"/>
  <c r="L32" i="29" s="1"/>
  <c r="G32" i="29"/>
  <c r="H32" i="29" s="1"/>
  <c r="V20" i="55"/>
  <c r="AH20" i="55" s="1"/>
  <c r="U22" i="55"/>
  <c r="V29" i="55"/>
  <c r="AH29" i="55" s="1"/>
  <c r="U27" i="55"/>
  <c r="AB19" i="55"/>
  <c r="AC19" i="55" s="1"/>
  <c r="U21" i="55"/>
  <c r="T18" i="55"/>
  <c r="X27" i="55"/>
  <c r="T23" i="55"/>
  <c r="X25" i="55"/>
  <c r="AG15" i="55"/>
  <c r="W18" i="55"/>
  <c r="AE18" i="55" s="1"/>
  <c r="Y18" i="55"/>
  <c r="U13" i="55"/>
  <c r="AG14" i="55"/>
  <c r="AB21" i="55"/>
  <c r="AC21" i="55" s="1"/>
  <c r="U23" i="55"/>
  <c r="AF23" i="55" s="1"/>
  <c r="AI23" i="55" s="1"/>
  <c r="AG13" i="55"/>
  <c r="V16" i="55"/>
  <c r="AH16" i="55" s="1"/>
  <c r="AG21" i="55"/>
  <c r="AA28" i="55"/>
  <c r="AA12" i="55"/>
  <c r="AB12" i="55"/>
  <c r="AC12" i="55" s="1"/>
  <c r="V15" i="55"/>
  <c r="AH15" i="55" s="1"/>
  <c r="AG12" i="55"/>
  <c r="AB20" i="55"/>
  <c r="AC20" i="55" s="1"/>
  <c r="T27" i="55"/>
  <c r="Y12" i="55"/>
  <c r="U29" i="55"/>
  <c r="U17" i="55"/>
  <c r="AF17" i="55" s="1"/>
  <c r="AI17" i="55" s="1"/>
  <c r="AG19" i="55"/>
  <c r="AG23" i="55"/>
  <c r="U12" i="55"/>
  <c r="AG26" i="55"/>
  <c r="U16" i="55"/>
  <c r="W17" i="55"/>
  <c r="AE17" i="55" s="1"/>
  <c r="AA18" i="55"/>
  <c r="U20" i="55"/>
  <c r="AG22" i="55"/>
  <c r="V25" i="55"/>
  <c r="AH25" i="55" s="1"/>
  <c r="T13" i="55"/>
  <c r="W25" i="55"/>
  <c r="AE25" i="55" s="1"/>
  <c r="AB14" i="55"/>
  <c r="AC14" i="55" s="1"/>
  <c r="AA16" i="55"/>
  <c r="U28" i="55"/>
  <c r="AB16" i="55"/>
  <c r="AC16" i="55" s="1"/>
  <c r="U15" i="55"/>
  <c r="AF15" i="55" s="1"/>
  <c r="AI15" i="55" s="1"/>
  <c r="U18" i="55"/>
  <c r="AF18" i="55" s="1"/>
  <c r="AI18" i="55" s="1"/>
  <c r="U19" i="55"/>
  <c r="W21" i="55"/>
  <c r="AE21" i="55" s="1"/>
  <c r="T22" i="55"/>
  <c r="U25" i="55"/>
  <c r="AF25" i="55" s="1"/>
  <c r="AI25" i="55" s="1"/>
  <c r="U26" i="55"/>
  <c r="AF26" i="55" s="1"/>
  <c r="AI26" i="55" s="1"/>
  <c r="X21" i="55"/>
  <c r="T30" i="55"/>
  <c r="Y21" i="55"/>
  <c r="W30" i="55"/>
  <c r="AE30" i="55" s="1"/>
  <c r="U14" i="55"/>
  <c r="AC18" i="55"/>
  <c r="W20" i="55"/>
  <c r="AE20" i="55" s="1"/>
  <c r="AC26" i="55"/>
  <c r="W29" i="55"/>
  <c r="AE29" i="55" s="1"/>
  <c r="Y30" i="55"/>
  <c r="AC25" i="55"/>
  <c r="W27" i="55"/>
  <c r="AE27" i="55" s="1"/>
  <c r="X29" i="55"/>
  <c r="AA30" i="55"/>
  <c r="Y27" i="55"/>
  <c r="AB28" i="55"/>
  <c r="AC28" i="55" s="1"/>
  <c r="AA29" i="55"/>
  <c r="AB30" i="55"/>
  <c r="AC30" i="55" s="1"/>
  <c r="AG28" i="55"/>
  <c r="AG29" i="55"/>
  <c r="AG30" i="55"/>
  <c r="W14" i="55"/>
  <c r="AE14" i="55" s="1"/>
  <c r="X18" i="55"/>
  <c r="Y25" i="55"/>
  <c r="AB27" i="55"/>
  <c r="X14" i="55"/>
  <c r="U24" i="55"/>
  <c r="AF24" i="55" s="1"/>
  <c r="AI24" i="55" s="1"/>
  <c r="AC15" i="55"/>
  <c r="Y14" i="55"/>
  <c r="Y15" i="55"/>
  <c r="W16" i="55"/>
  <c r="AE16" i="55" s="1"/>
  <c r="AC23" i="55"/>
  <c r="X24" i="55"/>
  <c r="AA25" i="55"/>
  <c r="X16" i="55"/>
  <c r="AA13" i="55"/>
  <c r="AG17" i="55"/>
  <c r="AG18" i="55"/>
  <c r="AG25" i="55"/>
  <c r="U30" i="55"/>
  <c r="D18" i="46"/>
  <c r="H4" i="46"/>
  <c r="D18" i="45"/>
  <c r="H4" i="45"/>
  <c r="D18" i="44"/>
  <c r="H4" i="44"/>
  <c r="D18" i="43"/>
  <c r="H4" i="43"/>
  <c r="D18" i="40"/>
  <c r="H4" i="40"/>
  <c r="D18" i="41"/>
  <c r="H4" i="41"/>
  <c r="D18" i="42"/>
  <c r="H4" i="42"/>
  <c r="D18" i="39"/>
  <c r="H4" i="39"/>
  <c r="E19" i="37"/>
  <c r="I4" i="37"/>
  <c r="E19" i="35"/>
  <c r="H4" i="35"/>
  <c r="E19" i="33"/>
  <c r="I4" i="33"/>
  <c r="E19" i="32"/>
  <c r="I4" i="32"/>
  <c r="E32" i="29"/>
  <c r="I32" i="29"/>
  <c r="M32" i="29"/>
  <c r="O32" i="29"/>
  <c r="J3" i="28"/>
  <c r="B43" i="28"/>
  <c r="H20" i="28"/>
  <c r="B21" i="29"/>
  <c r="O21" i="29"/>
  <c r="O20" i="29"/>
  <c r="B43" i="29"/>
  <c r="B28" i="29"/>
  <c r="C30" i="29"/>
  <c r="B30" i="29"/>
  <c r="B42" i="29"/>
  <c r="B20" i="29"/>
  <c r="O22" i="29"/>
  <c r="K24" i="29"/>
  <c r="B41" i="29"/>
  <c r="S42" i="29"/>
  <c r="J11" i="55"/>
  <c r="K11" i="55"/>
  <c r="T11" i="55"/>
  <c r="Y11" i="55"/>
  <c r="AB11" i="55"/>
  <c r="AC11" i="55" s="1"/>
  <c r="W11" i="55"/>
  <c r="X11" i="55"/>
  <c r="AD11" i="55" s="1"/>
  <c r="AG11" i="55" s="1"/>
  <c r="K38" i="28"/>
  <c r="L38" i="28" s="1"/>
  <c r="N20" i="28"/>
  <c r="L20" i="28"/>
  <c r="O20" i="28"/>
  <c r="P20" i="28"/>
  <c r="C20" i="28"/>
  <c r="D20" i="28"/>
  <c r="B18" i="28"/>
  <c r="E20" i="28"/>
  <c r="F20" i="28"/>
  <c r="B42" i="28"/>
  <c r="B20" i="28"/>
  <c r="B3" i="28"/>
  <c r="G20" i="28"/>
  <c r="P42" i="28"/>
  <c r="B4" i="28"/>
  <c r="I20" i="28"/>
  <c r="J4" i="28"/>
  <c r="J20" i="28"/>
  <c r="J5" i="28"/>
  <c r="B46" i="28"/>
  <c r="B45" i="28"/>
  <c r="B44" i="28"/>
  <c r="B47" i="28"/>
  <c r="M20" i="28"/>
  <c r="S39" i="29"/>
  <c r="B40" i="29"/>
  <c r="AE13" i="55"/>
  <c r="E29" i="29"/>
  <c r="S40" i="29"/>
  <c r="S41" i="29"/>
  <c r="AC24" i="55"/>
  <c r="AC17" i="55"/>
  <c r="AC22" i="55"/>
  <c r="AF22" i="55"/>
  <c r="AI22" i="55" s="1"/>
  <c r="AC29" i="55"/>
  <c r="K25" i="29"/>
  <c r="S37" i="29"/>
  <c r="AF29" i="55"/>
  <c r="AI29" i="55" s="1"/>
  <c r="B38" i="29"/>
  <c r="X13" i="55"/>
  <c r="T17" i="55"/>
  <c r="Y20" i="55"/>
  <c r="W22" i="55"/>
  <c r="AE22" i="55" s="1"/>
  <c r="Y13" i="55"/>
  <c r="W15" i="55"/>
  <c r="AE15" i="55" s="1"/>
  <c r="X22" i="55"/>
  <c r="V24" i="55"/>
  <c r="AH24" i="55" s="1"/>
  <c r="T26" i="55"/>
  <c r="Y29" i="55"/>
  <c r="X15" i="55"/>
  <c r="V17" i="55"/>
  <c r="AH17" i="55" s="1"/>
  <c r="T19" i="55"/>
  <c r="AA20" i="55"/>
  <c r="Y22" i="55"/>
  <c r="W24" i="55"/>
  <c r="AE24" i="55" s="1"/>
  <c r="AB13" i="55"/>
  <c r="AC13" i="55" s="1"/>
  <c r="AG16" i="55"/>
  <c r="X17" i="55"/>
  <c r="V19" i="55"/>
  <c r="AH19" i="55" s="1"/>
  <c r="T21" i="55"/>
  <c r="AA22" i="55"/>
  <c r="Y24" i="55"/>
  <c r="W26" i="55"/>
  <c r="AE26" i="55" s="1"/>
  <c r="V12" i="55"/>
  <c r="AH12" i="55" s="1"/>
  <c r="T14" i="55"/>
  <c r="AA15" i="55"/>
  <c r="Y17" i="55"/>
  <c r="W19" i="55"/>
  <c r="AE19" i="55" s="1"/>
  <c r="X26" i="55"/>
  <c r="V28" i="55"/>
  <c r="AH28" i="55" s="1"/>
  <c r="W12" i="55"/>
  <c r="AE12" i="55" s="1"/>
  <c r="X19" i="55"/>
  <c r="V21" i="55"/>
  <c r="AH21" i="55" s="1"/>
  <c r="AA24" i="55"/>
  <c r="Y26" i="55"/>
  <c r="W28" i="55"/>
  <c r="AE28" i="55" s="1"/>
  <c r="AA17" i="55"/>
  <c r="Y19" i="55"/>
  <c r="AG27" i="55"/>
  <c r="X28" i="55"/>
  <c r="AG20" i="55"/>
  <c r="AA26" i="55"/>
  <c r="W23" i="55"/>
  <c r="AE23" i="55" s="1"/>
  <c r="X23" i="55"/>
  <c r="Y23" i="55"/>
  <c r="AA23" i="55"/>
  <c r="E40" i="28" a="1"/>
  <c r="E34" i="28" a="1"/>
  <c r="G23" i="28" a="1"/>
  <c r="M30" i="28" a="1"/>
  <c r="O28" i="28" a="1"/>
  <c r="E36" i="28" a="1"/>
  <c r="O39" i="28" a="1"/>
  <c r="I39" i="28" a="1"/>
  <c r="C36" i="28" a="1"/>
  <c r="E32" i="28" a="1"/>
  <c r="K19" i="28" a="1"/>
  <c r="K26" i="28" a="1"/>
  <c r="G30" i="28" a="1"/>
  <c r="M28" i="28" a="1"/>
  <c r="M24" i="28" a="1"/>
  <c r="K34" i="28" a="1"/>
  <c r="I24" i="28" a="1"/>
  <c r="I36" i="28" a="1"/>
  <c r="M23" i="28" a="1"/>
  <c r="E21" i="28" a="1"/>
  <c r="C21" i="28" a="1"/>
  <c r="E27" i="28" a="1"/>
  <c r="K25" i="28" a="1"/>
  <c r="O35" i="28" a="1"/>
  <c r="O23" i="28" a="1"/>
  <c r="C28" i="28" a="1"/>
  <c r="C29" i="28" a="1"/>
  <c r="O32" i="28" a="1"/>
  <c r="G36" i="28" a="1"/>
  <c r="O25" i="28" a="1"/>
  <c r="I35" i="28" a="1"/>
  <c r="E33" i="28" a="1"/>
  <c r="K29" i="28" a="1"/>
  <c r="I29" i="28" a="1"/>
  <c r="I40" i="28" a="1"/>
  <c r="O29" i="28" a="1"/>
  <c r="M37" i="28" a="1"/>
  <c r="M36" i="28" a="1"/>
  <c r="K32" i="28" a="1"/>
  <c r="O38" i="28" a="1"/>
  <c r="M19" i="28" a="1"/>
  <c r="G24" i="28" a="1"/>
  <c r="I25" i="28" a="1"/>
  <c r="E23" i="28" a="1"/>
  <c r="G35" i="28" a="1"/>
  <c r="M29" i="28" a="1"/>
  <c r="E24" i="28" a="1"/>
  <c r="E38" i="28" a="1"/>
  <c r="M33" i="28" a="1"/>
  <c r="M21" i="28" a="1"/>
  <c r="M25" i="28" a="1"/>
  <c r="K27" i="28" a="1"/>
  <c r="K23" i="28" a="1"/>
  <c r="E35" i="28" a="1"/>
  <c r="K35" i="28" a="1"/>
  <c r="I33" i="28" a="1"/>
  <c r="O27" i="28" a="1"/>
  <c r="G19" i="28" a="1"/>
  <c r="O30" i="28" a="1"/>
  <c r="M39" i="28" a="1"/>
  <c r="C22" i="28" a="1"/>
  <c r="C26" i="28" a="1"/>
  <c r="G27" i="28" a="1"/>
  <c r="G21" i="28" a="1"/>
  <c r="E31" i="28" a="1"/>
  <c r="I32" i="28" a="1"/>
  <c r="K30" i="28" a="1"/>
  <c r="C37" i="28" a="1"/>
  <c r="O34" i="28" a="1"/>
  <c r="C19" i="28" a="1"/>
  <c r="E29" i="28" a="1"/>
  <c r="I38" i="28" a="1"/>
  <c r="I37" i="28" a="1"/>
  <c r="I21" i="28" a="1"/>
  <c r="C40" i="28" a="1"/>
  <c r="O24" i="28" a="1"/>
  <c r="K28" i="28" a="1"/>
  <c r="K24" i="28" a="1"/>
  <c r="C38" i="28" a="1"/>
  <c r="K21" i="28" a="1"/>
  <c r="E22" i="28" a="1"/>
  <c r="G33" i="28" a="1"/>
  <c r="O19" i="28" a="1"/>
  <c r="G31" i="28" a="1"/>
  <c r="K40" i="28" a="1"/>
  <c r="G40" i="28" a="1"/>
  <c r="M35" i="28" a="1"/>
  <c r="G22" i="28" a="1"/>
  <c r="G28" i="28" a="1"/>
  <c r="M27" i="28" a="1"/>
  <c r="M40" i="28" a="1"/>
  <c r="I31" i="28" a="1"/>
  <c r="G29" i="28" a="1"/>
  <c r="I28" i="28" a="1"/>
  <c r="K36" i="28" a="1"/>
  <c r="I26" i="28" a="1"/>
  <c r="G38" i="28" a="1"/>
  <c r="C27" i="28" a="1"/>
  <c r="M22" i="28" a="1"/>
  <c r="O40" i="28" a="1"/>
  <c r="E37" i="28" a="1"/>
  <c r="O37" i="28" a="1"/>
  <c r="C32" i="28" a="1"/>
  <c r="E30" i="28" a="1"/>
  <c r="M26" i="28" a="1"/>
  <c r="O22" i="28" a="1"/>
  <c r="O33" i="28" a="1"/>
  <c r="I34" i="28" a="1"/>
  <c r="G26" i="28" a="1"/>
  <c r="O31" i="28" a="1"/>
  <c r="C31" i="28" a="1"/>
  <c r="C35" i="28" a="1"/>
  <c r="E28" i="28" a="1"/>
  <c r="K31" i="28" a="1"/>
  <c r="G25" i="28" a="1"/>
  <c r="O36" i="28" a="1"/>
  <c r="I30" i="28" a="1"/>
  <c r="C24" i="28" a="1"/>
  <c r="M31" i="28" a="1"/>
  <c r="I19" i="28" a="1"/>
  <c r="I23" i="28" a="1"/>
  <c r="K37" i="28" a="1"/>
  <c r="O26" i="28" a="1"/>
  <c r="G32" i="28" a="1"/>
  <c r="G37" i="28" a="1"/>
  <c r="G39" i="28" a="1"/>
  <c r="K39" i="28" a="1"/>
  <c r="I27" i="28" a="1"/>
  <c r="E26" i="28" a="1"/>
  <c r="M38" i="28" a="1"/>
  <c r="I22" i="28" a="1"/>
  <c r="C33" i="28" a="1"/>
  <c r="E39" i="28" a="1"/>
  <c r="C34" i="28" a="1"/>
  <c r="C30" i="28" a="1"/>
  <c r="O21" i="28" a="1"/>
  <c r="C39" i="28" a="1"/>
  <c r="G34" i="28" a="1"/>
  <c r="M32" i="28" a="1"/>
  <c r="K22" i="28" a="1"/>
  <c r="E25" i="28" a="1"/>
  <c r="M34" i="28" a="1"/>
  <c r="E19" i="28" a="1"/>
  <c r="C23" i="28" a="1"/>
  <c r="K33" i="28" a="1"/>
  <c r="C25" i="28" a="1"/>
  <c r="O36" i="29" l="1"/>
  <c r="P36" i="29" s="1"/>
  <c r="P32" i="29"/>
  <c r="M36" i="29"/>
  <c r="N36" i="29" s="1"/>
  <c r="N32" i="29"/>
  <c r="E36" i="29"/>
  <c r="F36" i="29" s="1"/>
  <c r="F32" i="29"/>
  <c r="I34" i="29"/>
  <c r="J34" i="29" s="1"/>
  <c r="J32" i="29"/>
  <c r="Q34" i="29"/>
  <c r="R34" i="29" s="1"/>
  <c r="Q36" i="29"/>
  <c r="R36" i="29" s="1"/>
  <c r="Q33" i="29"/>
  <c r="R33" i="29" s="1"/>
  <c r="Q31" i="29"/>
  <c r="R31" i="29" s="1"/>
  <c r="Q35" i="29"/>
  <c r="R35" i="29" s="1"/>
  <c r="G36" i="29"/>
  <c r="H36" i="29" s="1"/>
  <c r="G31" i="29"/>
  <c r="H31" i="29" s="1"/>
  <c r="G35" i="29"/>
  <c r="H35" i="29" s="1"/>
  <c r="G34" i="29"/>
  <c r="H34" i="29" s="1"/>
  <c r="G33" i="29"/>
  <c r="H33" i="29" s="1"/>
  <c r="K31" i="29"/>
  <c r="L31" i="29" s="1"/>
  <c r="K35" i="29"/>
  <c r="L35" i="29" s="1"/>
  <c r="K36" i="29"/>
  <c r="L36" i="29" s="1"/>
  <c r="K34" i="29"/>
  <c r="L34" i="29" s="1"/>
  <c r="K33" i="29"/>
  <c r="L33" i="29" s="1"/>
  <c r="AF27" i="55"/>
  <c r="AI27" i="55" s="1"/>
  <c r="AF19" i="55"/>
  <c r="AI19" i="55" s="1"/>
  <c r="AF21" i="55"/>
  <c r="AI21" i="55" s="1"/>
  <c r="AF12" i="55"/>
  <c r="AI12" i="55" s="1"/>
  <c r="AF28" i="55"/>
  <c r="AI28" i="55" s="1"/>
  <c r="AC27" i="55"/>
  <c r="AF20" i="55"/>
  <c r="AI20" i="55" s="1"/>
  <c r="AF30" i="55"/>
  <c r="AI30" i="55" s="1"/>
  <c r="AF14" i="55"/>
  <c r="AI14" i="55" s="1"/>
  <c r="AF16" i="55"/>
  <c r="AI16" i="55" s="1"/>
  <c r="AE11" i="55"/>
  <c r="I31" i="29"/>
  <c r="J31" i="29" s="1"/>
  <c r="M34" i="29"/>
  <c r="N34" i="29" s="1"/>
  <c r="I36" i="29"/>
  <c r="J36" i="29" s="1"/>
  <c r="E33" i="29"/>
  <c r="F33" i="29" s="1"/>
  <c r="E35" i="29"/>
  <c r="F35" i="29" s="1"/>
  <c r="M33" i="29"/>
  <c r="N33" i="29" s="1"/>
  <c r="I35" i="29"/>
  <c r="J35" i="29" s="1"/>
  <c r="M35" i="29"/>
  <c r="N35" i="29" s="1"/>
  <c r="M31" i="29"/>
  <c r="N31" i="29" s="1"/>
  <c r="I33" i="29"/>
  <c r="J33" i="29" s="1"/>
  <c r="O35" i="29"/>
  <c r="P35" i="29" s="1"/>
  <c r="E31" i="29"/>
  <c r="F31" i="29" s="1"/>
  <c r="E34" i="29"/>
  <c r="F34" i="29" s="1"/>
  <c r="O31" i="29"/>
  <c r="P31" i="29" s="1"/>
  <c r="O33" i="29"/>
  <c r="P33" i="29" s="1"/>
  <c r="O34" i="29"/>
  <c r="P34" i="29" s="1"/>
  <c r="V11" i="55"/>
  <c r="U11" i="55"/>
  <c r="AF11" i="55" s="1"/>
  <c r="AI11" i="55" s="1"/>
  <c r="M31" i="28"/>
  <c r="N31" i="28" s="1"/>
  <c r="I36" i="28"/>
  <c r="J36" i="28" s="1"/>
  <c r="C25" i="28"/>
  <c r="D25" i="28" s="1"/>
  <c r="O33" i="28"/>
  <c r="P33" i="28" s="1"/>
  <c r="E29" i="28"/>
  <c r="F29" i="28" s="1"/>
  <c r="M29" i="28"/>
  <c r="N29" i="28" s="1"/>
  <c r="K30" i="28"/>
  <c r="L30" i="28" s="1"/>
  <c r="E36" i="28"/>
  <c r="F36" i="28" s="1"/>
  <c r="M24" i="28"/>
  <c r="N24" i="28" s="1"/>
  <c r="K34" i="28"/>
  <c r="L34" i="28" s="1"/>
  <c r="E32" i="28"/>
  <c r="F32" i="28" s="1"/>
  <c r="K29" i="28"/>
  <c r="L29" i="28" s="1"/>
  <c r="E28" i="28"/>
  <c r="F28" i="28" s="1"/>
  <c r="I31" i="28"/>
  <c r="J31" i="28" s="1"/>
  <c r="C32" i="28"/>
  <c r="D32" i="28" s="1"/>
  <c r="O32" i="28"/>
  <c r="P32" i="28" s="1"/>
  <c r="G30" i="28"/>
  <c r="H30" i="28" s="1"/>
  <c r="M34" i="28"/>
  <c r="N34" i="28" s="1"/>
  <c r="G33" i="28"/>
  <c r="H33" i="28" s="1"/>
  <c r="C31" i="28"/>
  <c r="D31" i="28" s="1"/>
  <c r="G40" i="28"/>
  <c r="H40" i="28" s="1"/>
  <c r="K28" i="28"/>
  <c r="L28" i="28" s="1"/>
  <c r="E27" i="28"/>
  <c r="F27" i="28" s="1"/>
  <c r="M33" i="28"/>
  <c r="N33" i="28" s="1"/>
  <c r="G34" i="28"/>
  <c r="H34" i="28" s="1"/>
  <c r="E35" i="28"/>
  <c r="F35" i="28" s="1"/>
  <c r="G29" i="28"/>
  <c r="H29" i="28" s="1"/>
  <c r="K22" i="28"/>
  <c r="L22" i="28" s="1"/>
  <c r="G32" i="28"/>
  <c r="H32" i="28" s="1"/>
  <c r="C30" i="28"/>
  <c r="D30" i="28" s="1"/>
  <c r="K23" i="28"/>
  <c r="L23" i="28" s="1"/>
  <c r="G24" i="28"/>
  <c r="H24" i="28" s="1"/>
  <c r="I37" i="28"/>
  <c r="J37" i="28" s="1"/>
  <c r="O29" i="28"/>
  <c r="P29" i="28" s="1"/>
  <c r="E39" i="28"/>
  <c r="F39" i="28" s="1"/>
  <c r="I21" i="28"/>
  <c r="J21" i="28" s="1"/>
  <c r="C40" i="28"/>
  <c r="D40" i="28" s="1"/>
  <c r="G38" i="28"/>
  <c r="H38" i="28" s="1"/>
  <c r="O38" i="28"/>
  <c r="P38" i="28" s="1"/>
  <c r="M39" i="28"/>
  <c r="N39" i="28" s="1"/>
  <c r="E21" i="28"/>
  <c r="F21" i="28" s="1"/>
  <c r="K25" i="28"/>
  <c r="L25" i="28" s="1"/>
  <c r="G23" i="28"/>
  <c r="H23" i="28" s="1"/>
  <c r="C23" i="28"/>
  <c r="D23" i="28" s="1"/>
  <c r="K26" i="28"/>
  <c r="L26" i="28" s="1"/>
  <c r="M28" i="28"/>
  <c r="N28" i="28" s="1"/>
  <c r="I35" i="28"/>
  <c r="J35" i="28" s="1"/>
  <c r="G36" i="28"/>
  <c r="H36" i="28" s="1"/>
  <c r="I32" i="28"/>
  <c r="J32" i="28" s="1"/>
  <c r="K40" i="28"/>
  <c r="L40" i="28" s="1"/>
  <c r="I24" i="28"/>
  <c r="J24" i="28" s="1"/>
  <c r="M40" i="28"/>
  <c r="N40" i="28" s="1"/>
  <c r="I22" i="28"/>
  <c r="J22" i="28" s="1"/>
  <c r="O36" i="28"/>
  <c r="P36" i="28" s="1"/>
  <c r="K36" i="28"/>
  <c r="L36" i="28" s="1"/>
  <c r="M27" i="28"/>
  <c r="N27" i="28" s="1"/>
  <c r="O31" i="28"/>
  <c r="P31" i="28" s="1"/>
  <c r="I19" i="28"/>
  <c r="I30" i="28"/>
  <c r="J30" i="28" s="1"/>
  <c r="M25" i="28"/>
  <c r="N25" i="28" s="1"/>
  <c r="O23" i="28"/>
  <c r="P23" i="28" s="1"/>
  <c r="M26" i="28"/>
  <c r="N26" i="28" s="1"/>
  <c r="O34" i="28"/>
  <c r="P34" i="28" s="1"/>
  <c r="I39" i="28"/>
  <c r="J39" i="28" s="1"/>
  <c r="C37" i="28"/>
  <c r="D37" i="28" s="1"/>
  <c r="M19" i="28"/>
  <c r="K21" i="28"/>
  <c r="L21" i="28" s="1"/>
  <c r="O30" i="28"/>
  <c r="P30" i="28" s="1"/>
  <c r="I29" i="28"/>
  <c r="J29" i="28" s="1"/>
  <c r="M35" i="28"/>
  <c r="N35" i="28" s="1"/>
  <c r="E26" i="28"/>
  <c r="F26" i="28" s="1"/>
  <c r="C29" i="28"/>
  <c r="D29" i="28" s="1"/>
  <c r="K32" i="28"/>
  <c r="L32" i="28" s="1"/>
  <c r="C21" i="28"/>
  <c r="D21" i="28" s="1"/>
  <c r="O28" i="28"/>
  <c r="P28" i="28" s="1"/>
  <c r="O37" i="28"/>
  <c r="P37" i="28" s="1"/>
  <c r="C22" i="28"/>
  <c r="D22" i="28" s="1"/>
  <c r="G25" i="28"/>
  <c r="H25" i="28" s="1"/>
  <c r="G21" i="28"/>
  <c r="H21" i="28" s="1"/>
  <c r="E31" i="28"/>
  <c r="F31" i="28" s="1"/>
  <c r="I28" i="28"/>
  <c r="J28" i="28" s="1"/>
  <c r="G31" i="28"/>
  <c r="H31" i="28" s="1"/>
  <c r="K31" i="28"/>
  <c r="L31" i="28" s="1"/>
  <c r="O27" i="28"/>
  <c r="P27" i="28" s="1"/>
  <c r="E33" i="28"/>
  <c r="F33" i="28" s="1"/>
  <c r="C36" i="28"/>
  <c r="D36" i="28" s="1"/>
  <c r="I26" i="28"/>
  <c r="J26" i="28" s="1"/>
  <c r="E24" i="28"/>
  <c r="F24" i="28" s="1"/>
  <c r="M37" i="28"/>
  <c r="N37" i="28" s="1"/>
  <c r="E30" i="28"/>
  <c r="F30" i="28" s="1"/>
  <c r="M30" i="28"/>
  <c r="N30" i="28" s="1"/>
  <c r="K33" i="28"/>
  <c r="L33" i="28" s="1"/>
  <c r="O25" i="28"/>
  <c r="P25" i="28" s="1"/>
  <c r="O40" i="28"/>
  <c r="P40" i="28" s="1"/>
  <c r="M21" i="28"/>
  <c r="N21" i="28" s="1"/>
  <c r="K27" i="28"/>
  <c r="L27" i="28" s="1"/>
  <c r="C34" i="28"/>
  <c r="D34" i="28" s="1"/>
  <c r="O24" i="28"/>
  <c r="P24" i="28" s="1"/>
  <c r="I25" i="28"/>
  <c r="J25" i="28" s="1"/>
  <c r="G27" i="28"/>
  <c r="H27" i="28" s="1"/>
  <c r="E19" i="28"/>
  <c r="I34" i="28"/>
  <c r="J34" i="28" s="1"/>
  <c r="G35" i="28"/>
  <c r="H35" i="28" s="1"/>
  <c r="E38" i="28"/>
  <c r="F38" i="28" s="1"/>
  <c r="M22" i="28"/>
  <c r="N22" i="28" s="1"/>
  <c r="C28" i="28"/>
  <c r="D28" i="28" s="1"/>
  <c r="O19" i="28"/>
  <c r="K19" i="28"/>
  <c r="I23" i="28"/>
  <c r="J23" i="28" s="1"/>
  <c r="M38" i="28"/>
  <c r="N38" i="28" s="1"/>
  <c r="G26" i="28"/>
  <c r="H26" i="28" s="1"/>
  <c r="I33" i="28"/>
  <c r="J33" i="28" s="1"/>
  <c r="M36" i="28"/>
  <c r="N36" i="28" s="1"/>
  <c r="K37" i="28"/>
  <c r="L37" i="28" s="1"/>
  <c r="I40" i="28"/>
  <c r="J40" i="28" s="1"/>
  <c r="C27" i="28"/>
  <c r="D27" i="28" s="1"/>
  <c r="G22" i="28"/>
  <c r="H22" i="28" s="1"/>
  <c r="C35" i="28"/>
  <c r="D35" i="28" s="1"/>
  <c r="O35" i="28"/>
  <c r="P35" i="28" s="1"/>
  <c r="E22" i="28"/>
  <c r="F22" i="28" s="1"/>
  <c r="C39" i="28"/>
  <c r="D39" i="28" s="1"/>
  <c r="O39" i="28"/>
  <c r="P39" i="28" s="1"/>
  <c r="M23" i="28"/>
  <c r="N23" i="28" s="1"/>
  <c r="C19" i="28"/>
  <c r="O21" i="28"/>
  <c r="P21" i="28" s="1"/>
  <c r="M32" i="28"/>
  <c r="N32" i="28" s="1"/>
  <c r="C24" i="28"/>
  <c r="D24" i="28" s="1"/>
  <c r="E23" i="28"/>
  <c r="F23" i="28" s="1"/>
  <c r="E37" i="28"/>
  <c r="F37" i="28" s="1"/>
  <c r="E34" i="28"/>
  <c r="F34" i="28" s="1"/>
  <c r="K24" i="28"/>
  <c r="L24" i="28" s="1"/>
  <c r="E25" i="28"/>
  <c r="F25" i="28" s="1"/>
  <c r="C26" i="28"/>
  <c r="D26" i="28" s="1"/>
  <c r="O22" i="28"/>
  <c r="P22" i="28" s="1"/>
  <c r="G39" i="28"/>
  <c r="H39" i="28" s="1"/>
  <c r="G19" i="28"/>
  <c r="C33" i="28"/>
  <c r="D33" i="28" s="1"/>
  <c r="E40" i="28"/>
  <c r="F40" i="28" s="1"/>
  <c r="G37" i="28"/>
  <c r="H37" i="28" s="1"/>
  <c r="O26" i="28"/>
  <c r="P26" i="28" s="1"/>
  <c r="I27" i="28"/>
  <c r="J27" i="28" s="1"/>
  <c r="G28" i="28"/>
  <c r="H28" i="28" s="1"/>
  <c r="K39" i="28"/>
  <c r="L39" i="28" s="1"/>
  <c r="I38" i="28"/>
  <c r="J38" i="28" s="1"/>
  <c r="C38" i="28"/>
  <c r="D38" i="28" s="1"/>
  <c r="K35" i="28"/>
  <c r="L35" i="28" s="1"/>
  <c r="AF13" i="55"/>
  <c r="AI13" i="55" s="1"/>
  <c r="AH11" i="55" l="1"/>
  <c r="N11" i="55"/>
  <c r="O37" i="19"/>
  <c r="O37" i="18"/>
  <c r="O37" i="17"/>
  <c r="O37" i="16"/>
  <c r="O37" i="12"/>
  <c r="O37" i="11"/>
  <c r="O37" i="2"/>
  <c r="O37" i="10"/>
  <c r="C4" i="13" l="1"/>
  <c r="I32" i="13"/>
  <c r="G32" i="13"/>
  <c r="E32" i="13"/>
  <c r="D32" i="13"/>
  <c r="C32" i="13"/>
  <c r="A32" i="13"/>
  <c r="I31" i="13"/>
  <c r="G31" i="13"/>
  <c r="E31" i="13"/>
  <c r="D31" i="13"/>
  <c r="C31" i="13"/>
  <c r="A31" i="13"/>
  <c r="I30" i="13"/>
  <c r="G30" i="13"/>
  <c r="E30" i="13"/>
  <c r="D30" i="13"/>
  <c r="C30" i="13"/>
  <c r="A30" i="13"/>
  <c r="I29" i="13"/>
  <c r="H29" i="13"/>
  <c r="G29" i="13"/>
  <c r="F29" i="13"/>
  <c r="E29" i="13"/>
  <c r="D29" i="13"/>
  <c r="C29" i="13"/>
  <c r="A29" i="13"/>
  <c r="I28" i="13"/>
  <c r="H28" i="13"/>
  <c r="G28" i="13"/>
  <c r="F28" i="13"/>
  <c r="M29" i="13" s="1"/>
  <c r="E28" i="13"/>
  <c r="D28" i="13"/>
  <c r="C28" i="13"/>
  <c r="A28" i="13"/>
  <c r="N31" i="13" l="1"/>
  <c r="N29" i="13"/>
  <c r="L29" i="13"/>
  <c r="L31" i="13"/>
  <c r="O29" i="13"/>
  <c r="P30" i="13"/>
  <c r="K29" i="13"/>
  <c r="P29" i="13"/>
  <c r="J29" i="13"/>
  <c r="J31" i="13"/>
  <c r="P31" i="13"/>
  <c r="L32" i="13"/>
  <c r="L36" i="13" s="1"/>
  <c r="K32" i="13"/>
  <c r="J30" i="13"/>
  <c r="K30" i="13"/>
  <c r="N32" i="13"/>
  <c r="N36" i="13" s="1"/>
  <c r="L30" i="13"/>
  <c r="J32" i="13"/>
  <c r="N30" i="13"/>
  <c r="N34" i="13" s="1"/>
  <c r="K31" i="13"/>
  <c r="P32" i="13"/>
  <c r="Q34" i="23"/>
  <c r="Q33" i="23"/>
  <c r="D2" i="23"/>
  <c r="C38" i="23" s="1"/>
  <c r="P11" i="23" l="1"/>
  <c r="L11" i="23"/>
  <c r="I42" i="23" s="1"/>
  <c r="K11" i="23"/>
  <c r="G42" i="23" s="1"/>
  <c r="C55" i="23"/>
  <c r="F54" i="23"/>
  <c r="F37" i="23"/>
  <c r="L34" i="13"/>
  <c r="K34" i="13"/>
  <c r="P34" i="13"/>
  <c r="J36" i="13"/>
  <c r="P36" i="13"/>
  <c r="J35" i="13"/>
  <c r="J34" i="13"/>
  <c r="K36" i="13"/>
  <c r="P35" i="13"/>
  <c r="L35" i="13"/>
  <c r="L33" i="23"/>
  <c r="B55" i="23"/>
  <c r="B68" i="23"/>
  <c r="B63" i="23"/>
  <c r="S62" i="23"/>
  <c r="B66" i="23"/>
  <c r="B67" i="23"/>
  <c r="B29" i="23"/>
  <c r="S70" i="23"/>
  <c r="K35" i="13"/>
  <c r="N35" i="13"/>
  <c r="O11" i="23"/>
  <c r="J11" i="23"/>
  <c r="M11" i="23"/>
  <c r="K42" i="23" s="1"/>
  <c r="N11" i="23"/>
  <c r="L34" i="23"/>
  <c r="N28" i="23"/>
  <c r="Q28" i="23"/>
  <c r="I29" i="23"/>
  <c r="I31" i="23"/>
  <c r="I30" i="23"/>
  <c r="B30" i="23"/>
  <c r="B53" i="23" l="1"/>
  <c r="B36" i="23"/>
  <c r="S51" i="23"/>
  <c r="S67" i="23"/>
  <c r="S66" i="23"/>
  <c r="S65" i="23"/>
  <c r="S64" i="23"/>
  <c r="S69" i="23"/>
  <c r="S68" i="23"/>
  <c r="B65" i="23"/>
  <c r="B64" i="23"/>
  <c r="B54" i="23"/>
  <c r="B56" i="23"/>
  <c r="C56" i="23"/>
  <c r="B38" i="23" l="1"/>
  <c r="C61" i="23"/>
  <c r="B61" i="23"/>
  <c r="C60" i="23"/>
  <c r="B60" i="23"/>
  <c r="C59" i="23"/>
  <c r="B59" i="23"/>
  <c r="C58" i="23"/>
  <c r="B58" i="23"/>
  <c r="C57" i="23"/>
  <c r="B57" i="23"/>
  <c r="E6" i="23" l="1"/>
  <c r="E5" i="23"/>
  <c r="C49" i="23"/>
  <c r="C47" i="23"/>
  <c r="C45" i="23"/>
  <c r="C43" i="23"/>
  <c r="C41" i="23"/>
  <c r="C39" i="23"/>
  <c r="B49" i="23" l="1"/>
  <c r="B47" i="23"/>
  <c r="B45" i="23"/>
  <c r="B43" i="23"/>
  <c r="B39" i="23"/>
  <c r="F32" i="2"/>
  <c r="D5" i="23"/>
  <c r="D6" i="23"/>
  <c r="K41" i="23" l="1"/>
  <c r="L41" i="23" s="1"/>
  <c r="I41" i="23"/>
  <c r="J41" i="23" s="1"/>
  <c r="G41" i="23"/>
  <c r="H41" i="23" s="1"/>
  <c r="E41" i="23"/>
  <c r="F41" i="23" s="1"/>
  <c r="G57" i="23"/>
  <c r="H57" i="23" s="1"/>
  <c r="K57" i="23"/>
  <c r="L57" i="23" s="1"/>
  <c r="Q57" i="23"/>
  <c r="R57" i="23" s="1"/>
  <c r="I57" i="23"/>
  <c r="J57" i="23" s="1"/>
  <c r="E57" i="23"/>
  <c r="F57" i="23" s="1"/>
  <c r="M57" i="23"/>
  <c r="N57" i="23" s="1"/>
  <c r="O57" i="23"/>
  <c r="P57" i="23" s="1"/>
  <c r="Q42" i="23"/>
  <c r="Q41" i="23"/>
  <c r="R41" i="23" s="1"/>
  <c r="E42" i="23"/>
  <c r="O41" i="23"/>
  <c r="P41" i="23" s="1"/>
  <c r="O42" i="23"/>
  <c r="M42" i="23"/>
  <c r="M41" i="23"/>
  <c r="N41" i="23" s="1"/>
  <c r="A3" i="13"/>
  <c r="A4" i="13"/>
  <c r="A5" i="13"/>
  <c r="A6" i="13"/>
  <c r="A7" i="13"/>
  <c r="I4" i="13"/>
  <c r="G4" i="13"/>
  <c r="E4" i="13"/>
  <c r="D4" i="13"/>
  <c r="J4" i="13"/>
  <c r="I5" i="13"/>
  <c r="G5" i="13"/>
  <c r="E5" i="13"/>
  <c r="D5" i="13"/>
  <c r="C5" i="13"/>
  <c r="I6" i="13"/>
  <c r="G6" i="13"/>
  <c r="E6" i="13"/>
  <c r="D6" i="13"/>
  <c r="C6" i="13"/>
  <c r="I7" i="13"/>
  <c r="G7" i="13"/>
  <c r="E7" i="13"/>
  <c r="D7" i="13"/>
  <c r="C7" i="13"/>
  <c r="K58" i="23" l="1"/>
  <c r="L58" i="23" s="1"/>
  <c r="K61" i="23"/>
  <c r="L61" i="23" s="1"/>
  <c r="K60" i="23"/>
  <c r="L60" i="23" s="1"/>
  <c r="K56" i="23"/>
  <c r="L56" i="23" s="1"/>
  <c r="K59" i="23"/>
  <c r="L59" i="23" s="1"/>
  <c r="G61" i="23"/>
  <c r="H61" i="23" s="1"/>
  <c r="G59" i="23"/>
  <c r="H59" i="23" s="1"/>
  <c r="G58" i="23"/>
  <c r="H58" i="23" s="1"/>
  <c r="G56" i="23"/>
  <c r="H56" i="23" s="1"/>
  <c r="G60" i="23"/>
  <c r="H60" i="23" s="1"/>
  <c r="K43" i="23"/>
  <c r="L43" i="23" s="1"/>
  <c r="K49" i="23"/>
  <c r="L49" i="23" s="1"/>
  <c r="K39" i="23"/>
  <c r="L39" i="23" s="1"/>
  <c r="K45" i="23"/>
  <c r="L45" i="23" s="1"/>
  <c r="K47" i="23"/>
  <c r="L47" i="23" s="1"/>
  <c r="G45" i="23"/>
  <c r="H45" i="23" s="1"/>
  <c r="G43" i="23"/>
  <c r="H43" i="23" s="1"/>
  <c r="G47" i="23"/>
  <c r="H47" i="23" s="1"/>
  <c r="G49" i="23"/>
  <c r="H49" i="23" s="1"/>
  <c r="G39" i="23"/>
  <c r="H39" i="23" s="1"/>
  <c r="G46" i="23"/>
  <c r="G40" i="23"/>
  <c r="G50" i="23"/>
  <c r="G48" i="23"/>
  <c r="G44" i="23"/>
  <c r="K46" i="23"/>
  <c r="K44" i="23"/>
  <c r="K40" i="23"/>
  <c r="K50" i="23"/>
  <c r="K48" i="23"/>
  <c r="O49" i="23"/>
  <c r="P49" i="23" s="1"/>
  <c r="O45" i="23"/>
  <c r="P45" i="23" s="1"/>
  <c r="O47" i="23"/>
  <c r="P47" i="23" s="1"/>
  <c r="O39" i="23"/>
  <c r="P39" i="23" s="1"/>
  <c r="O43" i="23"/>
  <c r="P43" i="23" s="1"/>
  <c r="E46" i="23"/>
  <c r="E48" i="23"/>
  <c r="E44" i="23"/>
  <c r="E40" i="23"/>
  <c r="E50" i="23"/>
  <c r="Q46" i="23"/>
  <c r="Q44" i="23"/>
  <c r="Q50" i="23"/>
  <c r="Q48" i="23"/>
  <c r="Q40" i="23"/>
  <c r="O40" i="23"/>
  <c r="O48" i="23"/>
  <c r="O46" i="23"/>
  <c r="O50" i="23"/>
  <c r="O44" i="23"/>
  <c r="M44" i="23"/>
  <c r="M50" i="23"/>
  <c r="M40" i="23"/>
  <c r="M46" i="23"/>
  <c r="M48" i="23"/>
  <c r="I45" i="23"/>
  <c r="J45" i="23" s="1"/>
  <c r="I49" i="23"/>
  <c r="J49" i="23" s="1"/>
  <c r="I43" i="23"/>
  <c r="J43" i="23" s="1"/>
  <c r="I47" i="23"/>
  <c r="J47" i="23" s="1"/>
  <c r="I39" i="23"/>
  <c r="J39" i="23" s="1"/>
  <c r="M43" i="23"/>
  <c r="N43" i="23" s="1"/>
  <c r="M45" i="23"/>
  <c r="N45" i="23" s="1"/>
  <c r="M39" i="23"/>
  <c r="N39" i="23" s="1"/>
  <c r="M47" i="23"/>
  <c r="N47" i="23" s="1"/>
  <c r="M49" i="23"/>
  <c r="N49" i="23" s="1"/>
  <c r="E47" i="23"/>
  <c r="F47" i="23" s="1"/>
  <c r="E39" i="23"/>
  <c r="E43" i="23"/>
  <c r="F43" i="23" s="1"/>
  <c r="E45" i="23"/>
  <c r="F45" i="23" s="1"/>
  <c r="E49" i="23"/>
  <c r="F49" i="23" s="1"/>
  <c r="Q47" i="23"/>
  <c r="R47" i="23" s="1"/>
  <c r="Q49" i="23"/>
  <c r="R49" i="23" s="1"/>
  <c r="Q43" i="23"/>
  <c r="R43" i="23" s="1"/>
  <c r="Q45" i="23"/>
  <c r="R45" i="23" s="1"/>
  <c r="Q39" i="23"/>
  <c r="R39" i="23" s="1"/>
  <c r="I44" i="23"/>
  <c r="I46" i="23"/>
  <c r="I50" i="23"/>
  <c r="I48" i="23"/>
  <c r="I40" i="23"/>
  <c r="E60" i="23"/>
  <c r="F60" i="23" s="1"/>
  <c r="E59" i="23"/>
  <c r="F59" i="23" s="1"/>
  <c r="E58" i="23"/>
  <c r="F58" i="23" s="1"/>
  <c r="E61" i="23"/>
  <c r="F61" i="23" s="1"/>
  <c r="E56" i="23"/>
  <c r="F56" i="23" s="1"/>
  <c r="M61" i="23"/>
  <c r="N61" i="23" s="1"/>
  <c r="M58" i="23"/>
  <c r="N58" i="23" s="1"/>
  <c r="M60" i="23"/>
  <c r="N60" i="23" s="1"/>
  <c r="M59" i="23"/>
  <c r="N59" i="23" s="1"/>
  <c r="M56" i="23"/>
  <c r="N56" i="23" s="1"/>
  <c r="Q56" i="23"/>
  <c r="R56" i="23" s="1"/>
  <c r="Q60" i="23"/>
  <c r="R60" i="23" s="1"/>
  <c r="Q59" i="23"/>
  <c r="R59" i="23" s="1"/>
  <c r="Q61" i="23"/>
  <c r="R61" i="23" s="1"/>
  <c r="Q58" i="23"/>
  <c r="R58" i="23" s="1"/>
  <c r="I59" i="23"/>
  <c r="J59" i="23" s="1"/>
  <c r="I61" i="23"/>
  <c r="J61" i="23" s="1"/>
  <c r="I58" i="23"/>
  <c r="J58" i="23" s="1"/>
  <c r="I60" i="23"/>
  <c r="J60" i="23" s="1"/>
  <c r="I56" i="23"/>
  <c r="J56" i="23" s="1"/>
  <c r="O56" i="23"/>
  <c r="P56" i="23" s="1"/>
  <c r="O61" i="23"/>
  <c r="P61" i="23" s="1"/>
  <c r="O58" i="23"/>
  <c r="P58" i="23" s="1"/>
  <c r="O59" i="23"/>
  <c r="P59" i="23" s="1"/>
  <c r="O60" i="23"/>
  <c r="P60" i="23" s="1"/>
  <c r="K4" i="13"/>
  <c r="L4" i="13"/>
  <c r="N4" i="13"/>
  <c r="P4" i="13"/>
  <c r="K5" i="13"/>
  <c r="L5" i="13"/>
  <c r="N5" i="13"/>
  <c r="P5" i="13"/>
  <c r="K6" i="13"/>
  <c r="L6" i="13"/>
  <c r="N6" i="13"/>
  <c r="P6" i="13"/>
  <c r="K7" i="13"/>
  <c r="L7" i="13"/>
  <c r="N7" i="13"/>
  <c r="P7" i="13"/>
  <c r="J5" i="13"/>
  <c r="J6" i="13"/>
  <c r="J7" i="13"/>
  <c r="C24" i="23" l="1"/>
  <c r="S35" i="23" s="1"/>
  <c r="F39" i="23"/>
  <c r="B32" i="23"/>
  <c r="N10" i="13"/>
  <c r="K10" i="13"/>
  <c r="L9" i="13"/>
  <c r="P9" i="13"/>
  <c r="P11" i="13"/>
  <c r="N11" i="13"/>
  <c r="L11" i="13"/>
  <c r="K11" i="13"/>
  <c r="J10" i="13"/>
  <c r="L10" i="13"/>
  <c r="P10" i="13"/>
  <c r="N9" i="13"/>
  <c r="K9" i="13"/>
  <c r="J9" i="13"/>
  <c r="J11" i="13"/>
  <c r="B39" i="19"/>
  <c r="B38" i="19"/>
  <c r="B39" i="18"/>
  <c r="B38" i="18"/>
  <c r="B39" i="17"/>
  <c r="B38" i="17"/>
  <c r="B39" i="16"/>
  <c r="B38" i="16"/>
  <c r="B39" i="12"/>
  <c r="B38" i="12"/>
  <c r="B39" i="10"/>
  <c r="B38" i="10"/>
  <c r="B39" i="2"/>
  <c r="B38" i="2"/>
  <c r="B38" i="11"/>
  <c r="B39" i="11"/>
  <c r="H17" i="22" l="1"/>
  <c r="H11" i="22"/>
  <c r="A4" i="22"/>
  <c r="G48" i="22"/>
  <c r="B10" i="22"/>
  <c r="G8" i="22"/>
  <c r="G9" i="21" l="1"/>
  <c r="B10" i="21"/>
  <c r="G47" i="21"/>
  <c r="A4" i="21"/>
  <c r="G3" i="15" l="1"/>
  <c r="E3" i="15"/>
  <c r="G2" i="15"/>
  <c r="E2" i="15"/>
  <c r="B42" i="19" l="1"/>
  <c r="B47" i="19"/>
  <c r="O46" i="19"/>
  <c r="B46" i="19"/>
  <c r="O45" i="19"/>
  <c r="B45" i="19"/>
  <c r="O44" i="19"/>
  <c r="B44" i="19"/>
  <c r="O43" i="19"/>
  <c r="B43" i="19"/>
  <c r="B40" i="19"/>
  <c r="N32" i="19"/>
  <c r="N34" i="19" s="1"/>
  <c r="M34" i="19" s="1"/>
  <c r="L32" i="19"/>
  <c r="L35" i="19" s="1"/>
  <c r="K35" i="19" s="1"/>
  <c r="H32" i="19"/>
  <c r="H33" i="19" s="1"/>
  <c r="G33" i="19" s="1"/>
  <c r="E30" i="19"/>
  <c r="C30" i="19"/>
  <c r="B30" i="19"/>
  <c r="F28" i="19"/>
  <c r="B28" i="19"/>
  <c r="O26" i="19"/>
  <c r="M26" i="19"/>
  <c r="F26" i="19"/>
  <c r="B26" i="19"/>
  <c r="O24" i="19"/>
  <c r="N15" i="19"/>
  <c r="N19" i="19" s="1"/>
  <c r="L15" i="19"/>
  <c r="L17" i="19" s="1"/>
  <c r="H15" i="19"/>
  <c r="H17" i="19" s="1"/>
  <c r="N14" i="19"/>
  <c r="N12" i="19" s="1"/>
  <c r="M12" i="19" s="1"/>
  <c r="L14" i="19"/>
  <c r="L20" i="19" s="1"/>
  <c r="K20" i="19" s="1"/>
  <c r="H14" i="19"/>
  <c r="H12" i="19" s="1"/>
  <c r="G12" i="19" s="1"/>
  <c r="E11" i="19"/>
  <c r="C11" i="19"/>
  <c r="B11" i="19"/>
  <c r="F9" i="19"/>
  <c r="B9" i="19"/>
  <c r="O7" i="19"/>
  <c r="M7" i="19"/>
  <c r="F7" i="19"/>
  <c r="B7" i="19"/>
  <c r="N32" i="18"/>
  <c r="N34" i="18" s="1"/>
  <c r="M34" i="18" s="1"/>
  <c r="L32" i="18"/>
  <c r="L35" i="18" s="1"/>
  <c r="K35" i="18" s="1"/>
  <c r="H32" i="18"/>
  <c r="G32" i="18" s="1"/>
  <c r="N15" i="18"/>
  <c r="N17" i="18" s="1"/>
  <c r="L15" i="18"/>
  <c r="L17" i="18" s="1"/>
  <c r="H15" i="18"/>
  <c r="H17" i="18" s="1"/>
  <c r="N14" i="18"/>
  <c r="M14" i="18" s="1"/>
  <c r="L14" i="18"/>
  <c r="L12" i="18" s="1"/>
  <c r="K12" i="18" s="1"/>
  <c r="H14" i="18"/>
  <c r="H18" i="18" s="1"/>
  <c r="G18" i="18" s="1"/>
  <c r="B47" i="18"/>
  <c r="O46" i="18"/>
  <c r="B46" i="18"/>
  <c r="O45" i="18"/>
  <c r="B45" i="18"/>
  <c r="O44" i="18"/>
  <c r="B44" i="18"/>
  <c r="O43" i="18"/>
  <c r="B43" i="18"/>
  <c r="B42" i="18"/>
  <c r="B40" i="18"/>
  <c r="E30" i="18"/>
  <c r="C30" i="18"/>
  <c r="B30" i="18"/>
  <c r="F28" i="18"/>
  <c r="B28" i="18"/>
  <c r="O26" i="18"/>
  <c r="M26" i="18"/>
  <c r="F26" i="18"/>
  <c r="B26" i="18"/>
  <c r="O24" i="18"/>
  <c r="E11" i="18"/>
  <c r="C11" i="18"/>
  <c r="B11" i="18"/>
  <c r="F9" i="18"/>
  <c r="B9" i="18"/>
  <c r="O7" i="18"/>
  <c r="M7" i="18"/>
  <c r="F7" i="18"/>
  <c r="B7" i="18"/>
  <c r="B42" i="17"/>
  <c r="B47" i="17"/>
  <c r="O46" i="17"/>
  <c r="B46" i="17"/>
  <c r="O45" i="17"/>
  <c r="B45" i="17"/>
  <c r="O44" i="17"/>
  <c r="B44" i="17"/>
  <c r="O43" i="17"/>
  <c r="B43" i="17"/>
  <c r="B40" i="17"/>
  <c r="N32" i="17"/>
  <c r="N34" i="17" s="1"/>
  <c r="M34" i="17" s="1"/>
  <c r="L32" i="17"/>
  <c r="L35" i="17" s="1"/>
  <c r="K35" i="17" s="1"/>
  <c r="H32" i="17"/>
  <c r="H33" i="17" s="1"/>
  <c r="G33" i="17" s="1"/>
  <c r="E30" i="17"/>
  <c r="C30" i="17"/>
  <c r="B30" i="17"/>
  <c r="F28" i="17"/>
  <c r="B28" i="17"/>
  <c r="O26" i="17"/>
  <c r="M26" i="17"/>
  <c r="F26" i="17"/>
  <c r="B26" i="17"/>
  <c r="O24" i="17"/>
  <c r="N15" i="17"/>
  <c r="N19" i="17" s="1"/>
  <c r="L15" i="17"/>
  <c r="L17" i="17" s="1"/>
  <c r="H15" i="17"/>
  <c r="H17" i="17" s="1"/>
  <c r="N14" i="17"/>
  <c r="M14" i="17" s="1"/>
  <c r="L14" i="17"/>
  <c r="L20" i="17" s="1"/>
  <c r="K20" i="17" s="1"/>
  <c r="H14" i="17"/>
  <c r="H16" i="17" s="1"/>
  <c r="G16" i="17" s="1"/>
  <c r="E11" i="17"/>
  <c r="C11" i="17"/>
  <c r="B11" i="17"/>
  <c r="F9" i="17"/>
  <c r="B9" i="17"/>
  <c r="O7" i="17"/>
  <c r="M7" i="17"/>
  <c r="F7" i="17"/>
  <c r="B7" i="17"/>
  <c r="N15" i="16"/>
  <c r="N19" i="16" s="1"/>
  <c r="L15" i="16"/>
  <c r="L17" i="16" s="1"/>
  <c r="H15" i="16"/>
  <c r="H13" i="16" s="1"/>
  <c r="N14" i="16"/>
  <c r="N20" i="16" s="1"/>
  <c r="M20" i="16" s="1"/>
  <c r="N32" i="16"/>
  <c r="N35" i="16" s="1"/>
  <c r="M35" i="16" s="1"/>
  <c r="L32" i="16"/>
  <c r="L35" i="16" s="1"/>
  <c r="K35" i="16" s="1"/>
  <c r="H32" i="16"/>
  <c r="H31" i="16" s="1"/>
  <c r="G31" i="16" s="1"/>
  <c r="L14" i="16"/>
  <c r="L18" i="16" s="1"/>
  <c r="K18" i="16" s="1"/>
  <c r="H14" i="16"/>
  <c r="H12" i="16" s="1"/>
  <c r="G12" i="16" s="1"/>
  <c r="B47" i="16"/>
  <c r="O46" i="16"/>
  <c r="B46" i="16"/>
  <c r="O45" i="16"/>
  <c r="B45" i="16"/>
  <c r="O44" i="16"/>
  <c r="B44" i="16"/>
  <c r="O43" i="16"/>
  <c r="B43" i="16"/>
  <c r="B42" i="16"/>
  <c r="B40" i="16"/>
  <c r="E30" i="16"/>
  <c r="C30" i="16"/>
  <c r="B30" i="16"/>
  <c r="F28" i="16"/>
  <c r="B28" i="16"/>
  <c r="O26" i="16"/>
  <c r="M26" i="16"/>
  <c r="F26" i="16"/>
  <c r="B26" i="16"/>
  <c r="O24" i="16"/>
  <c r="E11" i="16"/>
  <c r="C11" i="16"/>
  <c r="B11" i="16"/>
  <c r="F9" i="16"/>
  <c r="B9" i="16"/>
  <c r="O7" i="16"/>
  <c r="M7" i="16"/>
  <c r="F7" i="16"/>
  <c r="B7" i="16"/>
  <c r="H34" i="19" l="1"/>
  <c r="G34" i="19" s="1"/>
  <c r="H31" i="19"/>
  <c r="G31" i="19" s="1"/>
  <c r="N35" i="19"/>
  <c r="M35" i="19" s="1"/>
  <c r="K32" i="19"/>
  <c r="N35" i="17"/>
  <c r="M35" i="17" s="1"/>
  <c r="G32" i="19"/>
  <c r="H35" i="19"/>
  <c r="G35" i="19" s="1"/>
  <c r="M32" i="17"/>
  <c r="H31" i="17"/>
  <c r="G31" i="17" s="1"/>
  <c r="G32" i="17"/>
  <c r="H34" i="17"/>
  <c r="G34" i="17" s="1"/>
  <c r="N31" i="19"/>
  <c r="M31" i="19" s="1"/>
  <c r="M32" i="19"/>
  <c r="H23" i="19"/>
  <c r="N16" i="19"/>
  <c r="M16" i="19" s="1"/>
  <c r="N20" i="19"/>
  <c r="M20" i="19" s="1"/>
  <c r="N18" i="19"/>
  <c r="M18" i="19" s="1"/>
  <c r="K14" i="19"/>
  <c r="N22" i="19"/>
  <c r="M22" i="19" s="1"/>
  <c r="L18" i="19"/>
  <c r="K18" i="19" s="1"/>
  <c r="H20" i="19"/>
  <c r="G20" i="19" s="1"/>
  <c r="H22" i="19"/>
  <c r="G22" i="19" s="1"/>
  <c r="H19" i="19"/>
  <c r="H21" i="19"/>
  <c r="H13" i="19"/>
  <c r="M14" i="19"/>
  <c r="N17" i="19"/>
  <c r="L16" i="19"/>
  <c r="K16" i="19" s="1"/>
  <c r="H18" i="19"/>
  <c r="G18" i="19" s="1"/>
  <c r="L36" i="19"/>
  <c r="K36" i="19" s="1"/>
  <c r="N13" i="19"/>
  <c r="L12" i="19"/>
  <c r="K12" i="19" s="1"/>
  <c r="L33" i="19"/>
  <c r="K33" i="19" s="1"/>
  <c r="N36" i="19"/>
  <c r="M36" i="19" s="1"/>
  <c r="L23" i="19"/>
  <c r="G14" i="19"/>
  <c r="H16" i="19"/>
  <c r="G16" i="19" s="1"/>
  <c r="L21" i="19"/>
  <c r="N23" i="19"/>
  <c r="N33" i="19"/>
  <c r="M33" i="19" s="1"/>
  <c r="L34" i="19"/>
  <c r="K34" i="19" s="1"/>
  <c r="H36" i="19"/>
  <c r="G36" i="19" s="1"/>
  <c r="L13" i="19"/>
  <c r="N31" i="17"/>
  <c r="M31" i="17" s="1"/>
  <c r="L19" i="19"/>
  <c r="N21" i="19"/>
  <c r="L22" i="19"/>
  <c r="K22" i="19" s="1"/>
  <c r="H35" i="17"/>
  <c r="G35" i="17" s="1"/>
  <c r="L31" i="19"/>
  <c r="K31" i="19" s="1"/>
  <c r="L33" i="18"/>
  <c r="K33" i="18" s="1"/>
  <c r="K32" i="18"/>
  <c r="H35" i="18"/>
  <c r="G35" i="18" s="1"/>
  <c r="H33" i="18"/>
  <c r="G33" i="18" s="1"/>
  <c r="H34" i="18"/>
  <c r="G34" i="18" s="1"/>
  <c r="H31" i="18"/>
  <c r="G31" i="18" s="1"/>
  <c r="N19" i="18"/>
  <c r="H19" i="18"/>
  <c r="H13" i="18"/>
  <c r="H21" i="18"/>
  <c r="N12" i="18"/>
  <c r="M12" i="18" s="1"/>
  <c r="N22" i="18"/>
  <c r="M22" i="18" s="1"/>
  <c r="N16" i="18"/>
  <c r="M16" i="18" s="1"/>
  <c r="L20" i="18"/>
  <c r="K20" i="18" s="1"/>
  <c r="L18" i="18"/>
  <c r="K18" i="18" s="1"/>
  <c r="K14" i="18"/>
  <c r="L16" i="18"/>
  <c r="K16" i="18" s="1"/>
  <c r="H12" i="18"/>
  <c r="G12" i="18" s="1"/>
  <c r="H20" i="18"/>
  <c r="G20" i="18" s="1"/>
  <c r="L13" i="18"/>
  <c r="N20" i="18"/>
  <c r="M20" i="18" s="1"/>
  <c r="N31" i="18"/>
  <c r="M31" i="18" s="1"/>
  <c r="N35" i="18"/>
  <c r="M35" i="18" s="1"/>
  <c r="L36" i="18"/>
  <c r="K36" i="18" s="1"/>
  <c r="N13" i="18"/>
  <c r="N18" i="18"/>
  <c r="M18" i="18" s="1"/>
  <c r="H22" i="18"/>
  <c r="G22" i="18" s="1"/>
  <c r="H23" i="18"/>
  <c r="M32" i="18"/>
  <c r="G14" i="18"/>
  <c r="H16" i="18"/>
  <c r="G16" i="18" s="1"/>
  <c r="L21" i="18"/>
  <c r="N23" i="18"/>
  <c r="N33" i="18"/>
  <c r="M33" i="18" s="1"/>
  <c r="L34" i="18"/>
  <c r="K34" i="18" s="1"/>
  <c r="H36" i="18"/>
  <c r="G36" i="18" s="1"/>
  <c r="N36" i="18"/>
  <c r="M36" i="18" s="1"/>
  <c r="N16" i="17"/>
  <c r="M16" i="17" s="1"/>
  <c r="L19" i="18"/>
  <c r="N21" i="18"/>
  <c r="L22" i="18"/>
  <c r="K22" i="18" s="1"/>
  <c r="L23" i="18"/>
  <c r="K32" i="17"/>
  <c r="L31" i="18"/>
  <c r="K31" i="18" s="1"/>
  <c r="L18" i="17"/>
  <c r="K18" i="17" s="1"/>
  <c r="N12" i="17"/>
  <c r="M12" i="17" s="1"/>
  <c r="N22" i="17"/>
  <c r="M22" i="17" s="1"/>
  <c r="K14" i="17"/>
  <c r="N18" i="17"/>
  <c r="M18" i="17" s="1"/>
  <c r="N20" i="17"/>
  <c r="M20" i="17" s="1"/>
  <c r="H20" i="17"/>
  <c r="G20" i="17" s="1"/>
  <c r="H22" i="17"/>
  <c r="G22" i="17" s="1"/>
  <c r="N17" i="17"/>
  <c r="H19" i="17"/>
  <c r="H21" i="17"/>
  <c r="H13" i="17"/>
  <c r="H12" i="17"/>
  <c r="G12" i="17" s="1"/>
  <c r="H23" i="17"/>
  <c r="L16" i="17"/>
  <c r="K16" i="17" s="1"/>
  <c r="H18" i="17"/>
  <c r="G18" i="17" s="1"/>
  <c r="L33" i="17"/>
  <c r="K33" i="17" s="1"/>
  <c r="N36" i="17"/>
  <c r="M36" i="17" s="1"/>
  <c r="L23" i="17"/>
  <c r="N13" i="17"/>
  <c r="G14" i="17"/>
  <c r="L21" i="17"/>
  <c r="N23" i="17"/>
  <c r="N33" i="17"/>
  <c r="M33" i="17" s="1"/>
  <c r="L34" i="17"/>
  <c r="K34" i="17" s="1"/>
  <c r="H36" i="17"/>
  <c r="G36" i="17" s="1"/>
  <c r="L36" i="17"/>
  <c r="K36" i="17" s="1"/>
  <c r="L13" i="17"/>
  <c r="L12" i="17"/>
  <c r="K12" i="17" s="1"/>
  <c r="L19" i="17"/>
  <c r="N21" i="17"/>
  <c r="L22" i="17"/>
  <c r="K22" i="17" s="1"/>
  <c r="L31" i="17"/>
  <c r="K31" i="17" s="1"/>
  <c r="N31" i="16"/>
  <c r="M31" i="16" s="1"/>
  <c r="N34" i="16"/>
  <c r="M34" i="16" s="1"/>
  <c r="M32" i="16"/>
  <c r="K32" i="16"/>
  <c r="H33" i="16"/>
  <c r="G33" i="16" s="1"/>
  <c r="H34" i="16"/>
  <c r="G34" i="16" s="1"/>
  <c r="H35" i="16"/>
  <c r="G35" i="16" s="1"/>
  <c r="N16" i="16"/>
  <c r="M16" i="16" s="1"/>
  <c r="N22" i="16"/>
  <c r="M22" i="16" s="1"/>
  <c r="M14" i="16"/>
  <c r="N18" i="16"/>
  <c r="M18" i="16" s="1"/>
  <c r="N12" i="16"/>
  <c r="M12" i="16" s="1"/>
  <c r="K14" i="16"/>
  <c r="L20" i="16"/>
  <c r="K20" i="16" s="1"/>
  <c r="L16" i="16"/>
  <c r="K16" i="16" s="1"/>
  <c r="L36" i="16"/>
  <c r="K36" i="16" s="1"/>
  <c r="N13" i="16"/>
  <c r="H18" i="16"/>
  <c r="G18" i="16" s="1"/>
  <c r="H19" i="16"/>
  <c r="L23" i="16"/>
  <c r="G32" i="16"/>
  <c r="N17" i="16"/>
  <c r="L13" i="16"/>
  <c r="H22" i="16"/>
  <c r="G22" i="16" s="1"/>
  <c r="H23" i="16"/>
  <c r="L12" i="16"/>
  <c r="K12" i="16" s="1"/>
  <c r="H20" i="16"/>
  <c r="G20" i="16" s="1"/>
  <c r="H21" i="16"/>
  <c r="L33" i="16"/>
  <c r="K33" i="16" s="1"/>
  <c r="N36" i="16"/>
  <c r="M36" i="16" s="1"/>
  <c r="G14" i="16"/>
  <c r="H16" i="16"/>
  <c r="G16" i="16" s="1"/>
  <c r="H17" i="16"/>
  <c r="L21" i="16"/>
  <c r="N23" i="16"/>
  <c r="N33" i="16"/>
  <c r="M33" i="16" s="1"/>
  <c r="L34" i="16"/>
  <c r="K34" i="16" s="1"/>
  <c r="H36" i="16"/>
  <c r="G36" i="16" s="1"/>
  <c r="L19" i="16"/>
  <c r="N21" i="16"/>
  <c r="L22" i="16"/>
  <c r="K22" i="16" s="1"/>
  <c r="L31" i="16"/>
  <c r="K31" i="16" s="1"/>
  <c r="B42" i="12" l="1"/>
  <c r="B47" i="12"/>
  <c r="O46" i="12"/>
  <c r="B46" i="12"/>
  <c r="O45" i="12"/>
  <c r="B45" i="12"/>
  <c r="O44" i="12"/>
  <c r="B44" i="12"/>
  <c r="O43" i="12"/>
  <c r="B43" i="12"/>
  <c r="B40" i="12"/>
  <c r="N32" i="12"/>
  <c r="N34" i="12" s="1"/>
  <c r="M34" i="12" s="1"/>
  <c r="L32" i="12"/>
  <c r="L35" i="12" s="1"/>
  <c r="K35" i="12" s="1"/>
  <c r="H32" i="12"/>
  <c r="H33" i="12" s="1"/>
  <c r="G33" i="12" s="1"/>
  <c r="E30" i="12"/>
  <c r="C30" i="12"/>
  <c r="B30" i="12"/>
  <c r="F28" i="12"/>
  <c r="B28" i="12"/>
  <c r="O26" i="12"/>
  <c r="M26" i="12"/>
  <c r="F26" i="12"/>
  <c r="B26" i="12"/>
  <c r="O24" i="12"/>
  <c r="N15" i="12"/>
  <c r="N19" i="12" s="1"/>
  <c r="L15" i="12"/>
  <c r="L17" i="12" s="1"/>
  <c r="H15" i="12"/>
  <c r="H17" i="12" s="1"/>
  <c r="N14" i="12"/>
  <c r="N12" i="12" s="1"/>
  <c r="M12" i="12" s="1"/>
  <c r="L14" i="12"/>
  <c r="L20" i="12" s="1"/>
  <c r="K20" i="12" s="1"/>
  <c r="H14" i="12"/>
  <c r="E11" i="12"/>
  <c r="C11" i="12"/>
  <c r="B11" i="12"/>
  <c r="F9" i="12"/>
  <c r="B9" i="12"/>
  <c r="O7" i="12"/>
  <c r="M7" i="12"/>
  <c r="F7" i="12"/>
  <c r="B7" i="12"/>
  <c r="N32" i="11"/>
  <c r="N35" i="11" s="1"/>
  <c r="M35" i="11" s="1"/>
  <c r="L32" i="11"/>
  <c r="K32" i="11" s="1"/>
  <c r="H32" i="11"/>
  <c r="H33" i="11" s="1"/>
  <c r="G33" i="11" s="1"/>
  <c r="N15" i="11"/>
  <c r="N19" i="11" s="1"/>
  <c r="L15" i="11"/>
  <c r="L17" i="11" s="1"/>
  <c r="H15" i="11"/>
  <c r="H23" i="11" s="1"/>
  <c r="N14" i="11"/>
  <c r="N22" i="11" s="1"/>
  <c r="M22" i="11" s="1"/>
  <c r="L14" i="11"/>
  <c r="L16" i="11" s="1"/>
  <c r="K16" i="11" s="1"/>
  <c r="H14" i="11"/>
  <c r="B42" i="11"/>
  <c r="B47" i="11"/>
  <c r="O46" i="11"/>
  <c r="B46" i="11"/>
  <c r="O45" i="11"/>
  <c r="B45" i="11"/>
  <c r="O44" i="11"/>
  <c r="B44" i="11"/>
  <c r="O43" i="11"/>
  <c r="B43" i="11"/>
  <c r="B40" i="11"/>
  <c r="E30" i="11"/>
  <c r="C30" i="11"/>
  <c r="B30" i="11"/>
  <c r="F28" i="11"/>
  <c r="B28" i="11"/>
  <c r="O26" i="11"/>
  <c r="M26" i="11"/>
  <c r="F26" i="11"/>
  <c r="B26" i="11"/>
  <c r="O24" i="11"/>
  <c r="E11" i="11"/>
  <c r="C11" i="11"/>
  <c r="B11" i="11"/>
  <c r="F9" i="11"/>
  <c r="B9" i="11"/>
  <c r="O7" i="11"/>
  <c r="M7" i="11"/>
  <c r="F7" i="11"/>
  <c r="B7" i="11"/>
  <c r="B42" i="10"/>
  <c r="B47" i="10"/>
  <c r="O46" i="10"/>
  <c r="B46" i="10"/>
  <c r="O45" i="10"/>
  <c r="B45" i="10"/>
  <c r="O44" i="10"/>
  <c r="B44" i="10"/>
  <c r="O43" i="10"/>
  <c r="B43" i="10"/>
  <c r="B40" i="10"/>
  <c r="N32" i="10"/>
  <c r="N34" i="10" s="1"/>
  <c r="M34" i="10" s="1"/>
  <c r="L32" i="10"/>
  <c r="L35" i="10" s="1"/>
  <c r="K35" i="10" s="1"/>
  <c r="H32" i="10"/>
  <c r="H33" i="10" s="1"/>
  <c r="G33" i="10" s="1"/>
  <c r="E30" i="10"/>
  <c r="C30" i="10"/>
  <c r="B30" i="10"/>
  <c r="F28" i="10"/>
  <c r="B28" i="10"/>
  <c r="O26" i="10"/>
  <c r="M26" i="10"/>
  <c r="F26" i="10"/>
  <c r="B26" i="10"/>
  <c r="O24" i="10"/>
  <c r="N15" i="10"/>
  <c r="N19" i="10" s="1"/>
  <c r="L15" i="10"/>
  <c r="L17" i="10" s="1"/>
  <c r="H15" i="10"/>
  <c r="H17" i="10" s="1"/>
  <c r="N14" i="10"/>
  <c r="N12" i="10" s="1"/>
  <c r="M12" i="10" s="1"/>
  <c r="L14" i="10"/>
  <c r="L20" i="10" s="1"/>
  <c r="K20" i="10" s="1"/>
  <c r="H14" i="10"/>
  <c r="E11" i="10"/>
  <c r="C11" i="10"/>
  <c r="B11" i="10"/>
  <c r="F9" i="10"/>
  <c r="B9" i="10"/>
  <c r="O7" i="10"/>
  <c r="M7" i="10"/>
  <c r="F7" i="10"/>
  <c r="B7" i="10"/>
  <c r="N35" i="12" l="1"/>
  <c r="M35" i="12" s="1"/>
  <c r="G32" i="12"/>
  <c r="H35" i="12"/>
  <c r="G35" i="12" s="1"/>
  <c r="M32" i="12"/>
  <c r="H31" i="12"/>
  <c r="G31" i="12" s="1"/>
  <c r="N31" i="12"/>
  <c r="M31" i="12" s="1"/>
  <c r="H34" i="12"/>
  <c r="G34" i="12" s="1"/>
  <c r="K32" i="12"/>
  <c r="H22" i="11"/>
  <c r="G22" i="11" s="1"/>
  <c r="H12" i="12"/>
  <c r="G12" i="12" s="1"/>
  <c r="H22" i="12"/>
  <c r="G22" i="12" s="1"/>
  <c r="H12" i="10"/>
  <c r="G12" i="10" s="1"/>
  <c r="H22" i="10"/>
  <c r="G22" i="10" s="1"/>
  <c r="N16" i="12"/>
  <c r="M16" i="12" s="1"/>
  <c r="N18" i="12"/>
  <c r="M18" i="12" s="1"/>
  <c r="N22" i="12"/>
  <c r="M22" i="12" s="1"/>
  <c r="N20" i="12"/>
  <c r="M20" i="12" s="1"/>
  <c r="K14" i="12"/>
  <c r="L18" i="12"/>
  <c r="K18" i="12" s="1"/>
  <c r="N17" i="12"/>
  <c r="H23" i="12"/>
  <c r="H20" i="12"/>
  <c r="G20" i="12" s="1"/>
  <c r="H19" i="12"/>
  <c r="H21" i="12"/>
  <c r="H13" i="12"/>
  <c r="M14" i="12"/>
  <c r="L16" i="12"/>
  <c r="K16" i="12" s="1"/>
  <c r="H18" i="12"/>
  <c r="G18" i="12" s="1"/>
  <c r="H23" i="10"/>
  <c r="M14" i="10"/>
  <c r="L36" i="12"/>
  <c r="K36" i="12" s="1"/>
  <c r="G14" i="12"/>
  <c r="H16" i="12"/>
  <c r="G16" i="12" s="1"/>
  <c r="L21" i="12"/>
  <c r="N23" i="12"/>
  <c r="N33" i="12"/>
  <c r="M33" i="12" s="1"/>
  <c r="L34" i="12"/>
  <c r="K34" i="12" s="1"/>
  <c r="H36" i="12"/>
  <c r="G36" i="12" s="1"/>
  <c r="H35" i="10"/>
  <c r="G35" i="10" s="1"/>
  <c r="L13" i="12"/>
  <c r="N13" i="12"/>
  <c r="L12" i="12"/>
  <c r="K12" i="12" s="1"/>
  <c r="L33" i="12"/>
  <c r="K33" i="12" s="1"/>
  <c r="N36" i="12"/>
  <c r="M36" i="12" s="1"/>
  <c r="N22" i="10"/>
  <c r="M22" i="10" s="1"/>
  <c r="L19" i="12"/>
  <c r="N21" i="12"/>
  <c r="L22" i="12"/>
  <c r="K22" i="12" s="1"/>
  <c r="N18" i="10"/>
  <c r="M18" i="10" s="1"/>
  <c r="N20" i="10"/>
  <c r="M20" i="10" s="1"/>
  <c r="L23" i="12"/>
  <c r="N16" i="10"/>
  <c r="M16" i="10" s="1"/>
  <c r="G32" i="10"/>
  <c r="L31" i="12"/>
  <c r="K31" i="12" s="1"/>
  <c r="N31" i="11"/>
  <c r="M31" i="11" s="1"/>
  <c r="M32" i="11"/>
  <c r="N34" i="11"/>
  <c r="M34" i="11" s="1"/>
  <c r="L35" i="11"/>
  <c r="K35" i="11" s="1"/>
  <c r="H34" i="11"/>
  <c r="G34" i="11" s="1"/>
  <c r="H31" i="11"/>
  <c r="G31" i="11" s="1"/>
  <c r="H35" i="11"/>
  <c r="G35" i="11" s="1"/>
  <c r="G32" i="11"/>
  <c r="N17" i="11"/>
  <c r="H19" i="11"/>
  <c r="H13" i="11"/>
  <c r="H17" i="11"/>
  <c r="H21" i="11"/>
  <c r="M14" i="11"/>
  <c r="N16" i="11"/>
  <c r="M16" i="11" s="1"/>
  <c r="N20" i="11"/>
  <c r="M20" i="11" s="1"/>
  <c r="N12" i="11"/>
  <c r="M12" i="11" s="1"/>
  <c r="N18" i="11"/>
  <c r="M18" i="11" s="1"/>
  <c r="L18" i="11"/>
  <c r="K18" i="11" s="1"/>
  <c r="K14" i="11"/>
  <c r="L20" i="11"/>
  <c r="K20" i="11" s="1"/>
  <c r="H20" i="11"/>
  <c r="G20" i="11" s="1"/>
  <c r="H18" i="11"/>
  <c r="G18" i="11" s="1"/>
  <c r="H12" i="11"/>
  <c r="G12" i="11" s="1"/>
  <c r="N13" i="11"/>
  <c r="N36" i="11"/>
  <c r="M36" i="11" s="1"/>
  <c r="H13" i="10"/>
  <c r="H19" i="10"/>
  <c r="H21" i="10"/>
  <c r="K32" i="10"/>
  <c r="G14" i="11"/>
  <c r="H16" i="11"/>
  <c r="G16" i="11" s="1"/>
  <c r="L21" i="11"/>
  <c r="N23" i="11"/>
  <c r="N33" i="11"/>
  <c r="M33" i="11" s="1"/>
  <c r="L34" i="11"/>
  <c r="K34" i="11" s="1"/>
  <c r="H36" i="11"/>
  <c r="G36" i="11" s="1"/>
  <c r="H31" i="10"/>
  <c r="G31" i="10" s="1"/>
  <c r="L33" i="11"/>
  <c r="K33" i="11" s="1"/>
  <c r="H34" i="10"/>
  <c r="G34" i="10" s="1"/>
  <c r="N35" i="10"/>
  <c r="M35" i="10" s="1"/>
  <c r="L19" i="11"/>
  <c r="N21" i="11"/>
  <c r="L22" i="11"/>
  <c r="K22" i="11" s="1"/>
  <c r="H20" i="10"/>
  <c r="G20" i="10" s="1"/>
  <c r="L13" i="11"/>
  <c r="L36" i="11"/>
  <c r="K36" i="11" s="1"/>
  <c r="L12" i="11"/>
  <c r="K12" i="11" s="1"/>
  <c r="L23" i="11"/>
  <c r="N31" i="10"/>
  <c r="M31" i="10" s="1"/>
  <c r="M32" i="10"/>
  <c r="L31" i="11"/>
  <c r="K31" i="11" s="1"/>
  <c r="L16" i="10"/>
  <c r="K16" i="10" s="1"/>
  <c r="L36" i="10"/>
  <c r="K36" i="10" s="1"/>
  <c r="H16" i="10"/>
  <c r="G16" i="10" s="1"/>
  <c r="L21" i="10"/>
  <c r="N23" i="10"/>
  <c r="N33" i="10"/>
  <c r="M33" i="10" s="1"/>
  <c r="L34" i="10"/>
  <c r="K34" i="10" s="1"/>
  <c r="H36" i="10"/>
  <c r="G36" i="10" s="1"/>
  <c r="N17" i="10"/>
  <c r="L18" i="10"/>
  <c r="K18" i="10" s="1"/>
  <c r="L13" i="10"/>
  <c r="K14" i="10"/>
  <c r="N13" i="10"/>
  <c r="L33" i="10"/>
  <c r="K33" i="10" s="1"/>
  <c r="N36" i="10"/>
  <c r="M36" i="10" s="1"/>
  <c r="L19" i="10"/>
  <c r="N21" i="10"/>
  <c r="L22" i="10"/>
  <c r="K22" i="10" s="1"/>
  <c r="L12" i="10"/>
  <c r="K12" i="10" s="1"/>
  <c r="H18" i="10"/>
  <c r="G18" i="10" s="1"/>
  <c r="L23" i="10"/>
  <c r="G14" i="10"/>
  <c r="L31" i="10"/>
  <c r="K31" i="10" s="1"/>
  <c r="O46" i="2"/>
  <c r="O45" i="2"/>
  <c r="O44" i="2"/>
  <c r="B44" i="2"/>
  <c r="B43" i="2"/>
  <c r="M7" i="2" l="1"/>
  <c r="M26" i="2"/>
  <c r="H32" i="2"/>
  <c r="H35" i="2" s="1"/>
  <c r="G35" i="2" s="1"/>
  <c r="H14" i="2"/>
  <c r="H15" i="2"/>
  <c r="H13" i="2" s="1"/>
  <c r="H22" i="2" l="1"/>
  <c r="G22" i="2" s="1"/>
  <c r="H36" i="2"/>
  <c r="G36" i="2" s="1"/>
  <c r="H17" i="2"/>
  <c r="H18" i="2"/>
  <c r="G18" i="2" s="1"/>
  <c r="G14" i="2"/>
  <c r="H31" i="2"/>
  <c r="G31" i="2" s="1"/>
  <c r="H19" i="2"/>
  <c r="H21" i="2"/>
  <c r="H12" i="2"/>
  <c r="G12" i="2" s="1"/>
  <c r="G32" i="2"/>
  <c r="H16" i="2"/>
  <c r="G16" i="2" s="1"/>
  <c r="H23" i="2"/>
  <c r="H20" i="2"/>
  <c r="G20" i="2" s="1"/>
  <c r="H33" i="2"/>
  <c r="G33" i="2" s="1"/>
  <c r="H34" i="2"/>
  <c r="G34" i="2" s="1"/>
  <c r="B26" i="2"/>
  <c r="B45" i="2" l="1"/>
  <c r="B42" i="2" l="1"/>
  <c r="B46" i="2" l="1"/>
  <c r="B47" i="2"/>
  <c r="L14" i="2" l="1"/>
  <c r="K14" i="2" s="1"/>
  <c r="Z500" i="1" l="1"/>
  <c r="AB500" i="1"/>
  <c r="U500" i="1"/>
  <c r="S500" i="1"/>
  <c r="N500" i="1"/>
  <c r="L500" i="1"/>
  <c r="G500" i="1"/>
  <c r="E500" i="1"/>
  <c r="G7" i="5" l="1"/>
  <c r="E7" i="5"/>
  <c r="J32" i="19" l="1"/>
  <c r="J32" i="18"/>
  <c r="J32" i="12"/>
  <c r="J32" i="11"/>
  <c r="F32" i="18"/>
  <c r="F32" i="19"/>
  <c r="F32" i="12"/>
  <c r="F32" i="11"/>
  <c r="O43" i="2"/>
  <c r="O24" i="2"/>
  <c r="F34" i="12" l="1"/>
  <c r="E34" i="12" s="1"/>
  <c r="F35" i="12"/>
  <c r="E35" i="12" s="1"/>
  <c r="F36" i="12"/>
  <c r="E36" i="12" s="1"/>
  <c r="F31" i="12"/>
  <c r="F33" i="12"/>
  <c r="E33" i="12" s="1"/>
  <c r="E32" i="12"/>
  <c r="J34" i="11"/>
  <c r="I34" i="11" s="1"/>
  <c r="J31" i="11"/>
  <c r="I31" i="11" s="1"/>
  <c r="J35" i="11"/>
  <c r="I35" i="11" s="1"/>
  <c r="I32" i="11"/>
  <c r="J36" i="11"/>
  <c r="I36" i="11" s="1"/>
  <c r="J33" i="11"/>
  <c r="I33" i="11" s="1"/>
  <c r="J36" i="12"/>
  <c r="I36" i="12" s="1"/>
  <c r="J33" i="12"/>
  <c r="I33" i="12" s="1"/>
  <c r="J31" i="12"/>
  <c r="I31" i="12" s="1"/>
  <c r="J34" i="12"/>
  <c r="I34" i="12" s="1"/>
  <c r="I32" i="12"/>
  <c r="J35" i="12"/>
  <c r="I35" i="12" s="1"/>
  <c r="F34" i="19"/>
  <c r="E34" i="19" s="1"/>
  <c r="E32" i="19"/>
  <c r="F35" i="19"/>
  <c r="E35" i="19" s="1"/>
  <c r="F31" i="19"/>
  <c r="F36" i="19"/>
  <c r="E36" i="19" s="1"/>
  <c r="F33" i="19"/>
  <c r="E33" i="19" s="1"/>
  <c r="J34" i="18"/>
  <c r="I34" i="18" s="1"/>
  <c r="J31" i="18"/>
  <c r="I31" i="18" s="1"/>
  <c r="I32" i="18"/>
  <c r="J36" i="18"/>
  <c r="I36" i="18" s="1"/>
  <c r="J33" i="18"/>
  <c r="I33" i="18" s="1"/>
  <c r="J35" i="18"/>
  <c r="I35" i="18" s="1"/>
  <c r="F34" i="11"/>
  <c r="E34" i="11" s="1"/>
  <c r="F35" i="11"/>
  <c r="E35" i="11" s="1"/>
  <c r="F36" i="11"/>
  <c r="E36" i="11" s="1"/>
  <c r="F31" i="11"/>
  <c r="E32" i="11"/>
  <c r="F33" i="11"/>
  <c r="E33" i="11" s="1"/>
  <c r="F34" i="18"/>
  <c r="E34" i="18" s="1"/>
  <c r="F36" i="18"/>
  <c r="E36" i="18" s="1"/>
  <c r="F33" i="18"/>
  <c r="E33" i="18" s="1"/>
  <c r="F31" i="18"/>
  <c r="F35" i="18"/>
  <c r="E35" i="18" s="1"/>
  <c r="E32" i="18"/>
  <c r="J36" i="19"/>
  <c r="I36" i="19" s="1"/>
  <c r="J34" i="19"/>
  <c r="I34" i="19" s="1"/>
  <c r="J31" i="19"/>
  <c r="I31" i="19" s="1"/>
  <c r="J33" i="19"/>
  <c r="I33" i="19" s="1"/>
  <c r="J35" i="19"/>
  <c r="I35" i="19" s="1"/>
  <c r="I32" i="19"/>
  <c r="E30" i="2"/>
  <c r="N32" i="2"/>
  <c r="L32" i="2"/>
  <c r="O26" i="2"/>
  <c r="F26" i="2"/>
  <c r="C30" i="2"/>
  <c r="B30" i="2"/>
  <c r="F28" i="2"/>
  <c r="B28" i="2"/>
  <c r="G3" i="5"/>
  <c r="E3" i="5"/>
  <c r="E31" i="19" l="1"/>
  <c r="J3" i="19"/>
  <c r="E31" i="18"/>
  <c r="J3" i="18"/>
  <c r="E31" i="12"/>
  <c r="J3" i="12"/>
  <c r="E31" i="11"/>
  <c r="J3" i="11"/>
  <c r="J32" i="2"/>
  <c r="J34" i="2" s="1"/>
  <c r="I34" i="2" s="1"/>
  <c r="J32" i="16"/>
  <c r="J32" i="17"/>
  <c r="J32" i="10"/>
  <c r="F31" i="2"/>
  <c r="J3" i="2" s="1"/>
  <c r="F32" i="17"/>
  <c r="F32" i="16"/>
  <c r="F32" i="10"/>
  <c r="L31" i="2"/>
  <c r="K31" i="2" s="1"/>
  <c r="K32" i="2"/>
  <c r="N33" i="2"/>
  <c r="M33" i="2" s="1"/>
  <c r="N31" i="2"/>
  <c r="M31" i="2" s="1"/>
  <c r="M32" i="2"/>
  <c r="J35" i="2"/>
  <c r="I35" i="2" s="1"/>
  <c r="I32" i="2"/>
  <c r="J36" i="2"/>
  <c r="I36" i="2" s="1"/>
  <c r="N34" i="2"/>
  <c r="M34" i="2" s="1"/>
  <c r="L33" i="2"/>
  <c r="K33" i="2" s="1"/>
  <c r="N35" i="2"/>
  <c r="M35" i="2" s="1"/>
  <c r="L34" i="2"/>
  <c r="K34" i="2" s="1"/>
  <c r="N36" i="2"/>
  <c r="M36" i="2" s="1"/>
  <c r="L35" i="2"/>
  <c r="K35" i="2" s="1"/>
  <c r="L36" i="2"/>
  <c r="K36" i="2" s="1"/>
  <c r="E31" i="2" l="1"/>
  <c r="J33" i="2"/>
  <c r="I33" i="2" s="1"/>
  <c r="J31" i="2"/>
  <c r="I31" i="2" s="1"/>
  <c r="F33" i="2"/>
  <c r="E33" i="2" s="1"/>
  <c r="F35" i="2"/>
  <c r="E35" i="2" s="1"/>
  <c r="F34" i="16"/>
  <c r="E34" i="16" s="1"/>
  <c r="F35" i="16"/>
  <c r="E35" i="16" s="1"/>
  <c r="F33" i="16"/>
  <c r="E33" i="16" s="1"/>
  <c r="F36" i="16"/>
  <c r="E36" i="16" s="1"/>
  <c r="E32" i="16"/>
  <c r="F31" i="16"/>
  <c r="J36" i="10"/>
  <c r="I36" i="10" s="1"/>
  <c r="J33" i="10"/>
  <c r="I33" i="10" s="1"/>
  <c r="J31" i="10"/>
  <c r="I31" i="10" s="1"/>
  <c r="I32" i="10"/>
  <c r="J34" i="10"/>
  <c r="I34" i="10" s="1"/>
  <c r="J35" i="10"/>
  <c r="I35" i="10" s="1"/>
  <c r="F34" i="17"/>
  <c r="E34" i="17" s="1"/>
  <c r="F35" i="17"/>
  <c r="E35" i="17" s="1"/>
  <c r="F31" i="17"/>
  <c r="E32" i="17"/>
  <c r="F33" i="17"/>
  <c r="E33" i="17" s="1"/>
  <c r="F36" i="17"/>
  <c r="E36" i="17" s="1"/>
  <c r="E32" i="2"/>
  <c r="J36" i="17"/>
  <c r="I36" i="17" s="1"/>
  <c r="J33" i="17"/>
  <c r="I33" i="17" s="1"/>
  <c r="J34" i="17"/>
  <c r="I34" i="17" s="1"/>
  <c r="J31" i="17"/>
  <c r="I31" i="17" s="1"/>
  <c r="J35" i="17"/>
  <c r="I35" i="17" s="1"/>
  <c r="I32" i="17"/>
  <c r="F34" i="2"/>
  <c r="E34" i="2" s="1"/>
  <c r="J34" i="16"/>
  <c r="I34" i="16" s="1"/>
  <c r="I32" i="16"/>
  <c r="J31" i="16"/>
  <c r="I31" i="16" s="1"/>
  <c r="J35" i="16"/>
  <c r="I35" i="16" s="1"/>
  <c r="J33" i="16"/>
  <c r="I33" i="16" s="1"/>
  <c r="J36" i="16"/>
  <c r="I36" i="16" s="1"/>
  <c r="F34" i="10"/>
  <c r="E34" i="10" s="1"/>
  <c r="F33" i="10"/>
  <c r="E33" i="10" s="1"/>
  <c r="F35" i="10"/>
  <c r="E35" i="10" s="1"/>
  <c r="F36" i="10"/>
  <c r="E36" i="10" s="1"/>
  <c r="F31" i="10"/>
  <c r="J3" i="10" s="1"/>
  <c r="E32" i="10"/>
  <c r="F36" i="2"/>
  <c r="E36" i="2" s="1"/>
  <c r="E11" i="2"/>
  <c r="O7" i="2"/>
  <c r="F7" i="2"/>
  <c r="F9" i="2"/>
  <c r="N15" i="2"/>
  <c r="N23" i="2" s="1"/>
  <c r="N14" i="2"/>
  <c r="L15" i="2"/>
  <c r="L23" i="2" s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F15" i="16" s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J15" i="16" s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H4" i="13" s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H5" i="13" s="1"/>
  <c r="O6" i="13" s="1"/>
  <c r="G494" i="1"/>
  <c r="G495" i="1"/>
  <c r="G496" i="1"/>
  <c r="G497" i="1"/>
  <c r="G498" i="1"/>
  <c r="G499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H6" i="13" s="1"/>
  <c r="G587" i="1"/>
  <c r="G588" i="1"/>
  <c r="G589" i="1"/>
  <c r="G590" i="1"/>
  <c r="G591" i="1"/>
  <c r="G592" i="1"/>
  <c r="G593" i="1"/>
  <c r="G594" i="1"/>
  <c r="G595" i="1"/>
  <c r="G596" i="1"/>
  <c r="G597" i="1"/>
  <c r="G598" i="1"/>
  <c r="H30" i="13" s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H7" i="13" s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H31" i="13" s="1"/>
  <c r="O32" i="13" s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H32" i="13" s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F4" i="13" s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F5" i="13" s="1"/>
  <c r="M6" i="13" s="1"/>
  <c r="E494" i="1"/>
  <c r="E495" i="1"/>
  <c r="E496" i="1"/>
  <c r="E497" i="1"/>
  <c r="E498" i="1"/>
  <c r="E499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F6" i="13" s="1"/>
  <c r="E587" i="1"/>
  <c r="E588" i="1"/>
  <c r="E589" i="1"/>
  <c r="E590" i="1"/>
  <c r="E591" i="1"/>
  <c r="E592" i="1"/>
  <c r="E593" i="1"/>
  <c r="E594" i="1"/>
  <c r="E595" i="1"/>
  <c r="E596" i="1"/>
  <c r="E597" i="1"/>
  <c r="E598" i="1"/>
  <c r="F30" i="13" s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F7" i="13" s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F31" i="13" s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F32" i="13" s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3" i="1"/>
  <c r="C11" i="2"/>
  <c r="B11" i="2"/>
  <c r="B9" i="2"/>
  <c r="B7" i="2"/>
  <c r="E31" i="17" l="1"/>
  <c r="J3" i="17"/>
  <c r="E31" i="16"/>
  <c r="J3" i="16"/>
  <c r="E31" i="10"/>
  <c r="M32" i="13"/>
  <c r="O7" i="13"/>
  <c r="O4" i="13"/>
  <c r="O5" i="13"/>
  <c r="O31" i="13"/>
  <c r="O36" i="13" s="1"/>
  <c r="O30" i="13"/>
  <c r="O11" i="13"/>
  <c r="M7" i="13"/>
  <c r="M11" i="13" s="1"/>
  <c r="M5" i="13"/>
  <c r="M10" i="13" s="1"/>
  <c r="M4" i="13"/>
  <c r="M9" i="13" s="1"/>
  <c r="M30" i="13"/>
  <c r="M31" i="13"/>
  <c r="M36" i="13" s="1"/>
  <c r="F21" i="16"/>
  <c r="F17" i="16"/>
  <c r="F23" i="16"/>
  <c r="F13" i="16"/>
  <c r="F19" i="16"/>
  <c r="J15" i="17"/>
  <c r="J15" i="10"/>
  <c r="F15" i="17"/>
  <c r="F15" i="10"/>
  <c r="J14" i="18"/>
  <c r="J14" i="11"/>
  <c r="F14" i="19"/>
  <c r="F14" i="12"/>
  <c r="J15" i="18"/>
  <c r="J15" i="11"/>
  <c r="J15" i="19"/>
  <c r="J15" i="12"/>
  <c r="F15" i="18"/>
  <c r="F15" i="11"/>
  <c r="J14" i="16"/>
  <c r="J14" i="2"/>
  <c r="J20" i="2" s="1"/>
  <c r="I20" i="2" s="1"/>
  <c r="J15" i="2"/>
  <c r="J23" i="2" s="1"/>
  <c r="F15" i="19"/>
  <c r="F15" i="12"/>
  <c r="J14" i="19"/>
  <c r="J14" i="12"/>
  <c r="F14" i="18"/>
  <c r="F14" i="11"/>
  <c r="J14" i="17"/>
  <c r="J14" i="10"/>
  <c r="F14" i="16"/>
  <c r="F14" i="2"/>
  <c r="F18" i="2" s="1"/>
  <c r="E18" i="2" s="1"/>
  <c r="F15" i="2"/>
  <c r="F23" i="2" s="1"/>
  <c r="F14" i="17"/>
  <c r="F14" i="10"/>
  <c r="J19" i="16"/>
  <c r="J21" i="16"/>
  <c r="J23" i="16"/>
  <c r="J17" i="16"/>
  <c r="J13" i="16"/>
  <c r="M14" i="2"/>
  <c r="N18" i="2"/>
  <c r="M18" i="2" s="1"/>
  <c r="N22" i="2"/>
  <c r="M22" i="2" s="1"/>
  <c r="L22" i="2"/>
  <c r="K22" i="2" s="1"/>
  <c r="N19" i="2"/>
  <c r="N21" i="2"/>
  <c r="N13" i="2"/>
  <c r="N17" i="2"/>
  <c r="L16" i="2"/>
  <c r="K16" i="2" s="1"/>
  <c r="L12" i="2"/>
  <c r="K12" i="2" s="1"/>
  <c r="L13" i="2"/>
  <c r="L17" i="2"/>
  <c r="L18" i="2"/>
  <c r="K18" i="2" s="1"/>
  <c r="L19" i="2"/>
  <c r="L20" i="2"/>
  <c r="K20" i="2" s="1"/>
  <c r="L21" i="2"/>
  <c r="N16" i="2"/>
  <c r="M16" i="2" s="1"/>
  <c r="N12" i="2"/>
  <c r="M12" i="2" s="1"/>
  <c r="N20" i="2"/>
  <c r="M20" i="2" s="1"/>
  <c r="M35" i="13" l="1"/>
  <c r="M34" i="13"/>
  <c r="O34" i="13"/>
  <c r="O35" i="13"/>
  <c r="O9" i="13"/>
  <c r="O10" i="13"/>
  <c r="J12" i="2"/>
  <c r="I12" i="2" s="1"/>
  <c r="J16" i="2"/>
  <c r="I16" i="2" s="1"/>
  <c r="E14" i="2"/>
  <c r="J21" i="2"/>
  <c r="J17" i="17"/>
  <c r="J23" i="17"/>
  <c r="J21" i="17"/>
  <c r="J19" i="17"/>
  <c r="J13" i="17"/>
  <c r="J16" i="19"/>
  <c r="I16" i="19" s="1"/>
  <c r="J20" i="19"/>
  <c r="I20" i="19" s="1"/>
  <c r="J18" i="19"/>
  <c r="I18" i="19" s="1"/>
  <c r="I14" i="19"/>
  <c r="J12" i="19"/>
  <c r="I12" i="19" s="1"/>
  <c r="J22" i="19"/>
  <c r="I22" i="19" s="1"/>
  <c r="F13" i="10"/>
  <c r="F23" i="10"/>
  <c r="F17" i="10"/>
  <c r="F19" i="10"/>
  <c r="F21" i="10"/>
  <c r="F21" i="12"/>
  <c r="F23" i="12"/>
  <c r="F13" i="12"/>
  <c r="F19" i="12"/>
  <c r="F17" i="12"/>
  <c r="J17" i="19"/>
  <c r="J21" i="19"/>
  <c r="J13" i="19"/>
  <c r="J19" i="19"/>
  <c r="J23" i="19"/>
  <c r="F23" i="17"/>
  <c r="F21" i="17"/>
  <c r="F19" i="17"/>
  <c r="F17" i="17"/>
  <c r="F13" i="17"/>
  <c r="F21" i="2"/>
  <c r="F20" i="16"/>
  <c r="E20" i="16" s="1"/>
  <c r="F22" i="16"/>
  <c r="E22" i="16" s="1"/>
  <c r="F12" i="16"/>
  <c r="E14" i="16"/>
  <c r="F16" i="16"/>
  <c r="E16" i="16" s="1"/>
  <c r="F18" i="16"/>
  <c r="E18" i="16" s="1"/>
  <c r="F19" i="19"/>
  <c r="F21" i="19"/>
  <c r="F23" i="19"/>
  <c r="F17" i="19"/>
  <c r="F13" i="19"/>
  <c r="J13" i="11"/>
  <c r="J23" i="11"/>
  <c r="J19" i="11"/>
  <c r="J21" i="11"/>
  <c r="J17" i="11"/>
  <c r="J16" i="10"/>
  <c r="I16" i="10" s="1"/>
  <c r="J18" i="10"/>
  <c r="I18" i="10" s="1"/>
  <c r="I14" i="10"/>
  <c r="J22" i="10"/>
  <c r="I22" i="10" s="1"/>
  <c r="J20" i="10"/>
  <c r="I20" i="10" s="1"/>
  <c r="J12" i="10"/>
  <c r="I12" i="10" s="1"/>
  <c r="J13" i="18"/>
  <c r="J17" i="18"/>
  <c r="J21" i="18"/>
  <c r="J23" i="18"/>
  <c r="J19" i="18"/>
  <c r="J19" i="2"/>
  <c r="F17" i="2"/>
  <c r="I14" i="2"/>
  <c r="J22" i="2"/>
  <c r="I22" i="2" s="1"/>
  <c r="F18" i="11"/>
  <c r="E18" i="11" s="1"/>
  <c r="F16" i="11"/>
  <c r="E16" i="11" s="1"/>
  <c r="F22" i="11"/>
  <c r="E22" i="11" s="1"/>
  <c r="F20" i="11"/>
  <c r="E20" i="11" s="1"/>
  <c r="F12" i="11"/>
  <c r="E14" i="11"/>
  <c r="F12" i="19"/>
  <c r="E14" i="19"/>
  <c r="F18" i="19"/>
  <c r="E18" i="19" s="1"/>
  <c r="F20" i="19"/>
  <c r="E20" i="19" s="1"/>
  <c r="F22" i="19"/>
  <c r="E22" i="19" s="1"/>
  <c r="F16" i="19"/>
  <c r="E16" i="19" s="1"/>
  <c r="F16" i="10"/>
  <c r="E16" i="10" s="1"/>
  <c r="F18" i="10"/>
  <c r="E18" i="10" s="1"/>
  <c r="F22" i="10"/>
  <c r="E22" i="10" s="1"/>
  <c r="E14" i="10"/>
  <c r="F20" i="10"/>
  <c r="E20" i="10" s="1"/>
  <c r="F12" i="10"/>
  <c r="J4" i="10" s="1"/>
  <c r="F12" i="18"/>
  <c r="F16" i="18"/>
  <c r="E16" i="18" s="1"/>
  <c r="F18" i="18"/>
  <c r="E18" i="18" s="1"/>
  <c r="E14" i="18"/>
  <c r="F22" i="18"/>
  <c r="E22" i="18" s="1"/>
  <c r="F20" i="18"/>
  <c r="E20" i="18" s="1"/>
  <c r="F13" i="11"/>
  <c r="F21" i="11"/>
  <c r="F19" i="11"/>
  <c r="F23" i="11"/>
  <c r="F17" i="11"/>
  <c r="J16" i="11"/>
  <c r="I16" i="11" s="1"/>
  <c r="J18" i="11"/>
  <c r="I18" i="11" s="1"/>
  <c r="J20" i="11"/>
  <c r="I20" i="11" s="1"/>
  <c r="J22" i="11"/>
  <c r="I22" i="11" s="1"/>
  <c r="I14" i="11"/>
  <c r="J12" i="11"/>
  <c r="I12" i="11" s="1"/>
  <c r="J17" i="12"/>
  <c r="J23" i="12"/>
  <c r="J19" i="12"/>
  <c r="J21" i="12"/>
  <c r="J13" i="12"/>
  <c r="F12" i="2"/>
  <c r="F22" i="2"/>
  <c r="E22" i="2" s="1"/>
  <c r="J17" i="10"/>
  <c r="J21" i="10"/>
  <c r="J23" i="10"/>
  <c r="J19" i="10"/>
  <c r="J13" i="10"/>
  <c r="F19" i="2"/>
  <c r="J16" i="17"/>
  <c r="I16" i="17" s="1"/>
  <c r="J12" i="17"/>
  <c r="I12" i="17" s="1"/>
  <c r="I14" i="17"/>
  <c r="J20" i="17"/>
  <c r="I20" i="17" s="1"/>
  <c r="J22" i="17"/>
  <c r="I22" i="17" s="1"/>
  <c r="J18" i="17"/>
  <c r="I18" i="17" s="1"/>
  <c r="F22" i="12"/>
  <c r="E22" i="12" s="1"/>
  <c r="E14" i="12"/>
  <c r="F18" i="12"/>
  <c r="E18" i="12" s="1"/>
  <c r="F20" i="12"/>
  <c r="E20" i="12" s="1"/>
  <c r="F12" i="12"/>
  <c r="F16" i="12"/>
  <c r="E16" i="12" s="1"/>
  <c r="F16" i="2"/>
  <c r="E16" i="2" s="1"/>
  <c r="J18" i="2"/>
  <c r="I18" i="2" s="1"/>
  <c r="F13" i="2"/>
  <c r="J16" i="16"/>
  <c r="I16" i="16" s="1"/>
  <c r="J22" i="16"/>
  <c r="I22" i="16" s="1"/>
  <c r="J20" i="16"/>
  <c r="I20" i="16" s="1"/>
  <c r="J18" i="16"/>
  <c r="I18" i="16" s="1"/>
  <c r="I14" i="16"/>
  <c r="J12" i="16"/>
  <c r="I12" i="16" s="1"/>
  <c r="J17" i="2"/>
  <c r="F20" i="2"/>
  <c r="E20" i="2" s="1"/>
  <c r="J13" i="2"/>
  <c r="E14" i="17"/>
  <c r="F18" i="17"/>
  <c r="E18" i="17" s="1"/>
  <c r="F12" i="17"/>
  <c r="F20" i="17"/>
  <c r="E20" i="17" s="1"/>
  <c r="F16" i="17"/>
  <c r="E16" i="17" s="1"/>
  <c r="F22" i="17"/>
  <c r="E22" i="17" s="1"/>
  <c r="J16" i="12"/>
  <c r="I16" i="12" s="1"/>
  <c r="I14" i="12"/>
  <c r="J20" i="12"/>
  <c r="I20" i="12" s="1"/>
  <c r="J12" i="12"/>
  <c r="I12" i="12" s="1"/>
  <c r="J18" i="12"/>
  <c r="I18" i="12" s="1"/>
  <c r="J22" i="12"/>
  <c r="I22" i="12" s="1"/>
  <c r="F17" i="18"/>
  <c r="F21" i="18"/>
  <c r="F23" i="18"/>
  <c r="F19" i="18"/>
  <c r="F13" i="18"/>
  <c r="J16" i="18"/>
  <c r="I16" i="18" s="1"/>
  <c r="J20" i="18"/>
  <c r="I20" i="18" s="1"/>
  <c r="J12" i="18"/>
  <c r="I12" i="18" s="1"/>
  <c r="J22" i="18"/>
  <c r="I22" i="18" s="1"/>
  <c r="I14" i="18"/>
  <c r="J18" i="18"/>
  <c r="I18" i="18" s="1"/>
  <c r="E12" i="19" l="1"/>
  <c r="J4" i="19"/>
  <c r="E12" i="18"/>
  <c r="J4" i="18"/>
  <c r="E12" i="17"/>
  <c r="J4" i="17"/>
  <c r="E12" i="16"/>
  <c r="J4" i="16"/>
  <c r="E12" i="12"/>
  <c r="J4" i="12"/>
  <c r="E12" i="11"/>
  <c r="J4" i="11"/>
  <c r="E12" i="10"/>
  <c r="E1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<sst xmlns="http://schemas.openxmlformats.org/spreadsheetml/2006/main" count="2811" uniqueCount="1576">
  <si>
    <t>Leistungen ALLCO COLD 288-125-T2 pro Ventilator</t>
  </si>
  <si>
    <t>QK100</t>
  </si>
  <si>
    <t>QK80</t>
  </si>
  <si>
    <t>QK60</t>
  </si>
  <si>
    <t>QK40</t>
  </si>
  <si>
    <t>QK20</t>
  </si>
  <si>
    <t>QS100</t>
  </si>
  <si>
    <t>QS80</t>
  </si>
  <si>
    <t>QS60</t>
  </si>
  <si>
    <t>QS40</t>
  </si>
  <si>
    <t>QS20</t>
  </si>
  <si>
    <t>4-6-20</t>
  </si>
  <si>
    <t>4-7-20</t>
  </si>
  <si>
    <t>4-8-20</t>
  </si>
  <si>
    <t>4-9-20</t>
  </si>
  <si>
    <t>4-10-20</t>
  </si>
  <si>
    <t>4-11-20</t>
  </si>
  <si>
    <t>4-12-20</t>
  </si>
  <si>
    <t>5-7-20</t>
  </si>
  <si>
    <t>5-8-20</t>
  </si>
  <si>
    <t>5-9-20</t>
  </si>
  <si>
    <t>5-10-20</t>
  </si>
  <si>
    <t>5-11-20</t>
  </si>
  <si>
    <t>5-12-20</t>
  </si>
  <si>
    <t>5-13-20</t>
  </si>
  <si>
    <t>6-8-20</t>
  </si>
  <si>
    <t>6-9-20</t>
  </si>
  <si>
    <t>6-10-20</t>
  </si>
  <si>
    <t>6-11-20</t>
  </si>
  <si>
    <t>6-12-20</t>
  </si>
  <si>
    <t>6-13-20</t>
  </si>
  <si>
    <t>6-14-20</t>
  </si>
  <si>
    <t>7-9-20</t>
  </si>
  <si>
    <t>7-10-20</t>
  </si>
  <si>
    <t>7-11-20</t>
  </si>
  <si>
    <t>7-12-20</t>
  </si>
  <si>
    <t>7-13-20</t>
  </si>
  <si>
    <t>7-14-20</t>
  </si>
  <si>
    <t>7-15-20</t>
  </si>
  <si>
    <t>8-10-20</t>
  </si>
  <si>
    <t>8-11-20</t>
  </si>
  <si>
    <t>8-12-20</t>
  </si>
  <si>
    <t>8-13-20</t>
  </si>
  <si>
    <t>8-14-20</t>
  </si>
  <si>
    <t>8-15-20</t>
  </si>
  <si>
    <t>9-11-20</t>
  </si>
  <si>
    <t>9-12-20</t>
  </si>
  <si>
    <t>9-13-20</t>
  </si>
  <si>
    <t>9-14-20</t>
  </si>
  <si>
    <t>9-15-20</t>
  </si>
  <si>
    <t>10-12-20</t>
  </si>
  <si>
    <t>10-13-20</t>
  </si>
  <si>
    <t>10-14-20</t>
  </si>
  <si>
    <t>10-15-20</t>
  </si>
  <si>
    <t>11-13-20</t>
  </si>
  <si>
    <t>11-14-20</t>
  </si>
  <si>
    <t>11-15-20</t>
  </si>
  <si>
    <t>12-14-20</t>
  </si>
  <si>
    <t>12-15-20</t>
  </si>
  <si>
    <t>13-15-20</t>
  </si>
  <si>
    <t>14-16-20</t>
  </si>
  <si>
    <t>14-17-20</t>
  </si>
  <si>
    <t>14-18-20</t>
  </si>
  <si>
    <t>15-17-20</t>
  </si>
  <si>
    <t>15-18-20</t>
  </si>
  <si>
    <t>16-18-20</t>
  </si>
  <si>
    <t>4-6-21</t>
  </si>
  <si>
    <t>4-7-21</t>
  </si>
  <si>
    <t>4-8-21</t>
  </si>
  <si>
    <t>4-9-21</t>
  </si>
  <si>
    <t>4-10-21</t>
  </si>
  <si>
    <t>4-11-21</t>
  </si>
  <si>
    <t>4-12-21</t>
  </si>
  <si>
    <t>5-7-21</t>
  </si>
  <si>
    <t>5-8-21</t>
  </si>
  <si>
    <t>5-9-21</t>
  </si>
  <si>
    <t>5-10-21</t>
  </si>
  <si>
    <t>5-11-21</t>
  </si>
  <si>
    <t>5-12-21</t>
  </si>
  <si>
    <t>5-13-21</t>
  </si>
  <si>
    <t>6-8-21</t>
  </si>
  <si>
    <t>6-9-21</t>
  </si>
  <si>
    <t>6-10-21</t>
  </si>
  <si>
    <t>6-11-21</t>
  </si>
  <si>
    <t>6-12-21</t>
  </si>
  <si>
    <t>6-13-21</t>
  </si>
  <si>
    <t>6-14-21</t>
  </si>
  <si>
    <t>7-9-21</t>
  </si>
  <si>
    <t>7-10-21</t>
  </si>
  <si>
    <t>7-11-21</t>
  </si>
  <si>
    <t>7-12-21</t>
  </si>
  <si>
    <t>7-13-21</t>
  </si>
  <si>
    <t>7-14-21</t>
  </si>
  <si>
    <t>7-15-21</t>
  </si>
  <si>
    <t>8-10-21</t>
  </si>
  <si>
    <t>8-11-21</t>
  </si>
  <si>
    <t>8-12-21</t>
  </si>
  <si>
    <t>8-13-21</t>
  </si>
  <si>
    <t>8-14-21</t>
  </si>
  <si>
    <t>8-15-21</t>
  </si>
  <si>
    <t>8-16-21</t>
  </si>
  <si>
    <t>9-11-21</t>
  </si>
  <si>
    <t>9-12-21</t>
  </si>
  <si>
    <t>9-13-21</t>
  </si>
  <si>
    <t>9-14-21</t>
  </si>
  <si>
    <t>9-15-21</t>
  </si>
  <si>
    <t>9-16-21</t>
  </si>
  <si>
    <t>10-12-21</t>
  </si>
  <si>
    <t>10-13-21</t>
  </si>
  <si>
    <t>10-14-21</t>
  </si>
  <si>
    <t>10-15-21</t>
  </si>
  <si>
    <t>10-16-21</t>
  </si>
  <si>
    <t>11-13-21</t>
  </si>
  <si>
    <t>11-14-21</t>
  </si>
  <si>
    <t>11-15-21</t>
  </si>
  <si>
    <t>11-16-21</t>
  </si>
  <si>
    <t>12-14-21</t>
  </si>
  <si>
    <t>12-15-21</t>
  </si>
  <si>
    <t>12-16-21</t>
  </si>
  <si>
    <t>13-15-21</t>
  </si>
  <si>
    <t>13-16-21</t>
  </si>
  <si>
    <t>14-16-21</t>
  </si>
  <si>
    <t>4-6-22</t>
  </si>
  <si>
    <t>4-7-22</t>
  </si>
  <si>
    <t>4-8-22</t>
  </si>
  <si>
    <t>4-9-22</t>
  </si>
  <si>
    <t>4-10-22</t>
  </si>
  <si>
    <t>4-11-22</t>
  </si>
  <si>
    <t>4-12-22</t>
  </si>
  <si>
    <t>5-7-22</t>
  </si>
  <si>
    <t>5-8-22</t>
  </si>
  <si>
    <t>5-9-22</t>
  </si>
  <si>
    <t>5-10-22</t>
  </si>
  <si>
    <t>5-11-22</t>
  </si>
  <si>
    <t>5-12-22</t>
  </si>
  <si>
    <t>5-13-22</t>
  </si>
  <si>
    <t>6-8-22</t>
  </si>
  <si>
    <t>6-9-22</t>
  </si>
  <si>
    <t>6-10-22</t>
  </si>
  <si>
    <t>6-11-22</t>
  </si>
  <si>
    <t>6-12-22</t>
  </si>
  <si>
    <t>6-13-22</t>
  </si>
  <si>
    <t>6-14-22</t>
  </si>
  <si>
    <t>7-9-22</t>
  </si>
  <si>
    <t>7-10-22</t>
  </si>
  <si>
    <t>7-11-22</t>
  </si>
  <si>
    <t>7-12-22</t>
  </si>
  <si>
    <t>7-13-22</t>
  </si>
  <si>
    <t>7-14-22</t>
  </si>
  <si>
    <t>7-15-22</t>
  </si>
  <si>
    <t>8-10-22</t>
  </si>
  <si>
    <t>8-11-22</t>
  </si>
  <si>
    <t>8-12-22</t>
  </si>
  <si>
    <t>8-13-22</t>
  </si>
  <si>
    <t>8-14-22</t>
  </si>
  <si>
    <t>8-15-22</t>
  </si>
  <si>
    <t>8-16-22</t>
  </si>
  <si>
    <t>9-11-22</t>
  </si>
  <si>
    <t>9-12-22</t>
  </si>
  <si>
    <t>9-13-22</t>
  </si>
  <si>
    <t>9-14-22</t>
  </si>
  <si>
    <t>9-15-22</t>
  </si>
  <si>
    <t>9-16-22</t>
  </si>
  <si>
    <t>9-17-22</t>
  </si>
  <si>
    <t>10-12-22</t>
  </si>
  <si>
    <t>10-13-22</t>
  </si>
  <si>
    <t>10-14-22</t>
  </si>
  <si>
    <t>10-15-22</t>
  </si>
  <si>
    <t>10-16-22</t>
  </si>
  <si>
    <t>10-17-22</t>
  </si>
  <si>
    <t>11-13-22</t>
  </si>
  <si>
    <t>11-14-22</t>
  </si>
  <si>
    <t>11-15-22</t>
  </si>
  <si>
    <t>11-16-22</t>
  </si>
  <si>
    <t>11-17-22</t>
  </si>
  <si>
    <t>12-14-22</t>
  </si>
  <si>
    <t>12-15-22</t>
  </si>
  <si>
    <t>12-16-22</t>
  </si>
  <si>
    <t>12-17-22</t>
  </si>
  <si>
    <t>13-15-22</t>
  </si>
  <si>
    <t>13-16-22</t>
  </si>
  <si>
    <t>13-17-22</t>
  </si>
  <si>
    <t>13-18-22</t>
  </si>
  <si>
    <t>14-16-22</t>
  </si>
  <si>
    <t>14-17-22</t>
  </si>
  <si>
    <t>15-17-22</t>
  </si>
  <si>
    <t>4-6-23</t>
  </si>
  <si>
    <t>4-7-23</t>
  </si>
  <si>
    <t>4-8-23</t>
  </si>
  <si>
    <t>4-9-23</t>
  </si>
  <si>
    <t>4-10-23</t>
  </si>
  <si>
    <t>4-11-23</t>
  </si>
  <si>
    <t>4-12-23</t>
  </si>
  <si>
    <t>5-7-23</t>
  </si>
  <si>
    <t>5-8-23</t>
  </si>
  <si>
    <t>5-9-23</t>
  </si>
  <si>
    <t>5-10-23</t>
  </si>
  <si>
    <t>5-11-23</t>
  </si>
  <si>
    <t>5-12-23</t>
  </si>
  <si>
    <t>5-13-23</t>
  </si>
  <si>
    <t>6-8-23</t>
  </si>
  <si>
    <t>6-9-23</t>
  </si>
  <si>
    <t>6-10-23</t>
  </si>
  <si>
    <t>6-11-23</t>
  </si>
  <si>
    <t>6-12-23</t>
  </si>
  <si>
    <t>6-13-23</t>
  </si>
  <si>
    <t>6-14-23</t>
  </si>
  <si>
    <t>7-9-23</t>
  </si>
  <si>
    <t>7-10-23</t>
  </si>
  <si>
    <t>7-11-23</t>
  </si>
  <si>
    <t>7-12-23</t>
  </si>
  <si>
    <t>7-13-23</t>
  </si>
  <si>
    <t>7-14-23</t>
  </si>
  <si>
    <t>7-15-23</t>
  </si>
  <si>
    <t>8-10-23</t>
  </si>
  <si>
    <t>8-11-23</t>
  </si>
  <si>
    <t>8-12-23</t>
  </si>
  <si>
    <t>8-13-23</t>
  </si>
  <si>
    <t>8-14-23</t>
  </si>
  <si>
    <t>8-15-23</t>
  </si>
  <si>
    <t>8-16-23</t>
  </si>
  <si>
    <t>9-11-23</t>
  </si>
  <si>
    <t>9-12-23</t>
  </si>
  <si>
    <t>9-13-23</t>
  </si>
  <si>
    <t>9-14-23</t>
  </si>
  <si>
    <t>9-15-23</t>
  </si>
  <si>
    <t>9-16-23</t>
  </si>
  <si>
    <t>9-17-23</t>
  </si>
  <si>
    <t>10-12-23</t>
  </si>
  <si>
    <t>10-13-23</t>
  </si>
  <si>
    <t>10-14-23</t>
  </si>
  <si>
    <t>10-15-23</t>
  </si>
  <si>
    <t>10-16-23</t>
  </si>
  <si>
    <t>10-17-23</t>
  </si>
  <si>
    <t>10-18-23</t>
  </si>
  <si>
    <t>11-13-23</t>
  </si>
  <si>
    <t>11-14-23</t>
  </si>
  <si>
    <t>11-15-23</t>
  </si>
  <si>
    <t>11-16-23</t>
  </si>
  <si>
    <t>11-17-23</t>
  </si>
  <si>
    <t>11-18-23</t>
  </si>
  <si>
    <t>11-19-23</t>
  </si>
  <si>
    <t>12-14-23</t>
  </si>
  <si>
    <t>12-15-23</t>
  </si>
  <si>
    <t>12-16-23</t>
  </si>
  <si>
    <t>12-17-23</t>
  </si>
  <si>
    <t>12-18-23</t>
  </si>
  <si>
    <t>13-15-23</t>
  </si>
  <si>
    <t>13-16-23</t>
  </si>
  <si>
    <t>13-17-23</t>
  </si>
  <si>
    <t>13-18-23</t>
  </si>
  <si>
    <t>14-16-23</t>
  </si>
  <si>
    <t>14-17-23</t>
  </si>
  <si>
    <t>14-18-23</t>
  </si>
  <si>
    <t>15-17-23</t>
  </si>
  <si>
    <t>15-18-23</t>
  </si>
  <si>
    <t>16-18-23</t>
  </si>
  <si>
    <t>4-6-24</t>
  </si>
  <si>
    <t>4-7-24</t>
  </si>
  <si>
    <t>4-8-24</t>
  </si>
  <si>
    <t>4-9-24</t>
  </si>
  <si>
    <t>4-10-24</t>
  </si>
  <si>
    <t>4-11-24</t>
  </si>
  <si>
    <t>4-12-24</t>
  </si>
  <si>
    <t>5-7-24</t>
  </si>
  <si>
    <t>5-8-24</t>
  </si>
  <si>
    <t>5-9-24</t>
  </si>
  <si>
    <t>5-10-24</t>
  </si>
  <si>
    <t>5-11-24</t>
  </si>
  <si>
    <t>5-12-24</t>
  </si>
  <si>
    <t>5-13-24</t>
  </si>
  <si>
    <t>6-8-24</t>
  </si>
  <si>
    <t>6-9-24</t>
  </si>
  <si>
    <t>6-10-24</t>
  </si>
  <si>
    <t>6-11-24</t>
  </si>
  <si>
    <t>6-12-24</t>
  </si>
  <si>
    <t>6-13-24</t>
  </si>
  <si>
    <t>6-14-24</t>
  </si>
  <si>
    <t>7-9-24</t>
  </si>
  <si>
    <t>7-10-24</t>
  </si>
  <si>
    <t>7-11-24</t>
  </si>
  <si>
    <t>7-12-24</t>
  </si>
  <si>
    <t>7-13-24</t>
  </si>
  <si>
    <t>7-14-24</t>
  </si>
  <si>
    <t>7-15-24</t>
  </si>
  <si>
    <t>8-10-24</t>
  </si>
  <si>
    <t>8-11-24</t>
  </si>
  <si>
    <t>8-12-24</t>
  </si>
  <si>
    <t>8-13-24</t>
  </si>
  <si>
    <t>8-14-24</t>
  </si>
  <si>
    <t>8-15-24</t>
  </si>
  <si>
    <t>8-16-24</t>
  </si>
  <si>
    <t>9-11-24</t>
  </si>
  <si>
    <t>9-12-24</t>
  </si>
  <si>
    <t>9-13-24</t>
  </si>
  <si>
    <t>9-14-24</t>
  </si>
  <si>
    <t>9-15-24</t>
  </si>
  <si>
    <t>9-16-24</t>
  </si>
  <si>
    <t>9-17-24</t>
  </si>
  <si>
    <t>10-12-24</t>
  </si>
  <si>
    <t>10-13-24</t>
  </si>
  <si>
    <t>10-14-24</t>
  </si>
  <si>
    <t>10-15-24</t>
  </si>
  <si>
    <t>10-16-24</t>
  </si>
  <si>
    <t>10-17-24</t>
  </si>
  <si>
    <t>10-18-24</t>
  </si>
  <si>
    <t>11-13-24</t>
  </si>
  <si>
    <t>11-14-24</t>
  </si>
  <si>
    <t>11-15-24</t>
  </si>
  <si>
    <t>11-16-24</t>
  </si>
  <si>
    <t>11-17-24</t>
  </si>
  <si>
    <t>11-18-24</t>
  </si>
  <si>
    <t>11-19-24</t>
  </si>
  <si>
    <t>12-14-24</t>
  </si>
  <si>
    <t>12-15-24</t>
  </si>
  <si>
    <t>12-16-24</t>
  </si>
  <si>
    <t>12-17-24</t>
  </si>
  <si>
    <t>12-18-24</t>
  </si>
  <si>
    <t>12-19-24</t>
  </si>
  <si>
    <t>13-15-24</t>
  </si>
  <si>
    <t>13-16-24</t>
  </si>
  <si>
    <t>13-17-24</t>
  </si>
  <si>
    <t>13-18-24</t>
  </si>
  <si>
    <t>13-19-24</t>
  </si>
  <si>
    <t>14-16-24</t>
  </si>
  <si>
    <t>14-17-24</t>
  </si>
  <si>
    <t>14-18-24</t>
  </si>
  <si>
    <t>14-19-24</t>
  </si>
  <si>
    <t>15-17-24</t>
  </si>
  <si>
    <t>15-18-24</t>
  </si>
  <si>
    <t>15-19-24</t>
  </si>
  <si>
    <t>16-18-24</t>
  </si>
  <si>
    <t>16-19-24</t>
  </si>
  <si>
    <t>17-19-24</t>
  </si>
  <si>
    <t>4-6-25</t>
  </si>
  <si>
    <t>4-7-25</t>
  </si>
  <si>
    <t>4-8-25</t>
  </si>
  <si>
    <t>4-9-25</t>
  </si>
  <si>
    <t>4-10-25</t>
  </si>
  <si>
    <t>4-11-25</t>
  </si>
  <si>
    <t>4-12-25</t>
  </si>
  <si>
    <t>5-7-25</t>
  </si>
  <si>
    <t>5-8-25</t>
  </si>
  <si>
    <t>5-9-25</t>
  </si>
  <si>
    <t>5-10-25</t>
  </si>
  <si>
    <t>5-11-25</t>
  </si>
  <si>
    <t>5-12-25</t>
  </si>
  <si>
    <t>5-13-25</t>
  </si>
  <si>
    <t>6-8-25</t>
  </si>
  <si>
    <t>6-9-25</t>
  </si>
  <si>
    <t>6-10-25</t>
  </si>
  <si>
    <t>6-11-25</t>
  </si>
  <si>
    <t>6-12-25</t>
  </si>
  <si>
    <t>6-13-25</t>
  </si>
  <si>
    <t>6-14-25</t>
  </si>
  <si>
    <t>7-9-25</t>
  </si>
  <si>
    <t>7-10-25</t>
  </si>
  <si>
    <t>7-11-25</t>
  </si>
  <si>
    <t>7-12-25</t>
  </si>
  <si>
    <t>7-13-25</t>
  </si>
  <si>
    <t>7-14-25</t>
  </si>
  <si>
    <t>7-15-25</t>
  </si>
  <si>
    <t>8-10-25</t>
  </si>
  <si>
    <t>8-11-25</t>
  </si>
  <si>
    <t>8-12-25</t>
  </si>
  <si>
    <t>8-13-25</t>
  </si>
  <si>
    <t>8-14-25</t>
  </si>
  <si>
    <t>8-15-25</t>
  </si>
  <si>
    <t>8-16-25</t>
  </si>
  <si>
    <t>9-11-25</t>
  </si>
  <si>
    <t>9-12-25</t>
  </si>
  <si>
    <t>9-13-25</t>
  </si>
  <si>
    <t>9-14-25</t>
  </si>
  <si>
    <t>9-15-25</t>
  </si>
  <si>
    <t>9-16-25</t>
  </si>
  <si>
    <t>9-17-25</t>
  </si>
  <si>
    <t>10-12-25</t>
  </si>
  <si>
    <t>10-13-25</t>
  </si>
  <si>
    <t>10-14-25</t>
  </si>
  <si>
    <t>10-15-25</t>
  </si>
  <si>
    <t>10-16-25</t>
  </si>
  <si>
    <t>10-17-25</t>
  </si>
  <si>
    <t>10-18-25</t>
  </si>
  <si>
    <t>11-13-25</t>
  </si>
  <si>
    <t>11-14-25</t>
  </si>
  <si>
    <t>11-15-25</t>
  </si>
  <si>
    <t>11-16-25</t>
  </si>
  <si>
    <t>11-17-25</t>
  </si>
  <si>
    <t>11-18-25</t>
  </si>
  <si>
    <t>11-19-25</t>
  </si>
  <si>
    <t>12-14-25</t>
  </si>
  <si>
    <t>12-15-25</t>
  </si>
  <si>
    <t>12-16-25</t>
  </si>
  <si>
    <t>12-17-25</t>
  </si>
  <si>
    <t>12-18-25</t>
  </si>
  <si>
    <t>12-19-25</t>
  </si>
  <si>
    <t>12-20-25</t>
  </si>
  <si>
    <t>13-15-25</t>
  </si>
  <si>
    <t>13-16-25</t>
  </si>
  <si>
    <t>13-17-25</t>
  </si>
  <si>
    <t>13-18-25</t>
  </si>
  <si>
    <t>13-19-25</t>
  </si>
  <si>
    <t>13-20-25</t>
  </si>
  <si>
    <t>14-16-25</t>
  </si>
  <si>
    <t>14-17-25</t>
  </si>
  <si>
    <t>14-18-25</t>
  </si>
  <si>
    <t>14-19-25</t>
  </si>
  <si>
    <t>14-20-25</t>
  </si>
  <si>
    <t>15-17-25</t>
  </si>
  <si>
    <t>15-18-25</t>
  </si>
  <si>
    <t>15-19-25</t>
  </si>
  <si>
    <t>15-20-25</t>
  </si>
  <si>
    <t>16-18-25</t>
  </si>
  <si>
    <t>16-19-25</t>
  </si>
  <si>
    <t>16-20-25</t>
  </si>
  <si>
    <t>17-19-25</t>
  </si>
  <si>
    <t>17-20-25</t>
  </si>
  <si>
    <t>18-20-25</t>
  </si>
  <si>
    <t>4-6-26</t>
  </si>
  <si>
    <t>4-7-26</t>
  </si>
  <si>
    <t>4-8-26</t>
  </si>
  <si>
    <t>4-9-26</t>
  </si>
  <si>
    <t>4-10-26</t>
  </si>
  <si>
    <t>4-11-26</t>
  </si>
  <si>
    <t>4-12-26</t>
  </si>
  <si>
    <t>5-7-26</t>
  </si>
  <si>
    <t>5-8-26</t>
  </si>
  <si>
    <t>5-9-26</t>
  </si>
  <si>
    <t>5-10-26</t>
  </si>
  <si>
    <t>5-11-26</t>
  </si>
  <si>
    <t>5-12-26</t>
  </si>
  <si>
    <t>5-13-26</t>
  </si>
  <si>
    <t>6-8-26</t>
  </si>
  <si>
    <t>6-9-26</t>
  </si>
  <si>
    <t>6-10-26</t>
  </si>
  <si>
    <t>6-11-26</t>
  </si>
  <si>
    <t>6-12-26</t>
  </si>
  <si>
    <t>6-13-26</t>
  </si>
  <si>
    <t>6-14-26</t>
  </si>
  <si>
    <t>7-9-26</t>
  </si>
  <si>
    <t>7-10-26</t>
  </si>
  <si>
    <t>7-11-26</t>
  </si>
  <si>
    <t>7-12-26</t>
  </si>
  <si>
    <t>7-13-26</t>
  </si>
  <si>
    <t>7-14-26</t>
  </si>
  <si>
    <t>7-15-26</t>
  </si>
  <si>
    <t>8-10-26</t>
  </si>
  <si>
    <t>8-11-26</t>
  </si>
  <si>
    <t>8-12-26</t>
  </si>
  <si>
    <t>8-13-26</t>
  </si>
  <si>
    <t>8-14-26</t>
  </si>
  <si>
    <t>8-15-26</t>
  </si>
  <si>
    <t>8-16-26</t>
  </si>
  <si>
    <t>9-11-26</t>
  </si>
  <si>
    <t>9-12-26</t>
  </si>
  <si>
    <t>9-13-26</t>
  </si>
  <si>
    <t>9-14-26</t>
  </si>
  <si>
    <t>9-15-26</t>
  </si>
  <si>
    <t>9-16-26</t>
  </si>
  <si>
    <t>9-17-26</t>
  </si>
  <si>
    <t>10-12-26</t>
  </si>
  <si>
    <t>10-13-26</t>
  </si>
  <si>
    <t>10-14-26</t>
  </si>
  <si>
    <t>10-15-26</t>
  </si>
  <si>
    <t>10-16-26</t>
  </si>
  <si>
    <t>10-17-26</t>
  </si>
  <si>
    <t>10-18-26</t>
  </si>
  <si>
    <t>11-13-26</t>
  </si>
  <si>
    <t>11-14-26</t>
  </si>
  <si>
    <t>11-15-26</t>
  </si>
  <si>
    <t>11-16-26</t>
  </si>
  <si>
    <t>11-17-26</t>
  </si>
  <si>
    <t>11-18-26</t>
  </si>
  <si>
    <t>11-19-26</t>
  </si>
  <si>
    <t>12-14-26</t>
  </si>
  <si>
    <t>12-15-26</t>
  </si>
  <si>
    <t>12-16-26</t>
  </si>
  <si>
    <t>12-17-26</t>
  </si>
  <si>
    <t>12-18-26</t>
  </si>
  <si>
    <t>12-19-26</t>
  </si>
  <si>
    <t>12-20-26</t>
  </si>
  <si>
    <t>13-15-26</t>
  </si>
  <si>
    <t>13-16-26</t>
  </si>
  <si>
    <t>13-17-26</t>
  </si>
  <si>
    <t>13-18-26</t>
  </si>
  <si>
    <t>13-19-26</t>
  </si>
  <si>
    <t>13-20-26</t>
  </si>
  <si>
    <t>13-21-26</t>
  </si>
  <si>
    <t>14-16-26</t>
  </si>
  <si>
    <t>14-17-26</t>
  </si>
  <si>
    <t>14-18-26</t>
  </si>
  <si>
    <t>14-19-26</t>
  </si>
  <si>
    <t>14-20-26</t>
  </si>
  <si>
    <t>14-21-26</t>
  </si>
  <si>
    <t>15-17-26</t>
  </si>
  <si>
    <t>15-18-26</t>
  </si>
  <si>
    <t>15-19-26</t>
  </si>
  <si>
    <t>15-20-26</t>
  </si>
  <si>
    <t>15-21-26</t>
  </si>
  <si>
    <t>16-18-26</t>
  </si>
  <si>
    <t>16-19-26</t>
  </si>
  <si>
    <t>16-20-26</t>
  </si>
  <si>
    <t>16-21-26</t>
  </si>
  <si>
    <t>17-19-26</t>
  </si>
  <si>
    <t>17-20-26</t>
  </si>
  <si>
    <t>17-21-26</t>
  </si>
  <si>
    <t>18-20-26</t>
  </si>
  <si>
    <t>18-21-26</t>
  </si>
  <si>
    <t>19-21-26</t>
  </si>
  <si>
    <t>4-6-27</t>
  </si>
  <si>
    <t>4-7-27</t>
  </si>
  <si>
    <t>4-8-27</t>
  </si>
  <si>
    <t>4-9-27</t>
  </si>
  <si>
    <t>4-10-27</t>
  </si>
  <si>
    <t>4-11-27</t>
  </si>
  <si>
    <t>4-12-27</t>
  </si>
  <si>
    <t>5-7-27</t>
  </si>
  <si>
    <t>5-8-27</t>
  </si>
  <si>
    <t>5-9-27</t>
  </si>
  <si>
    <t>5-10-27</t>
  </si>
  <si>
    <t>5-11-27</t>
  </si>
  <si>
    <t>5-12-27</t>
  </si>
  <si>
    <t>5-13-27</t>
  </si>
  <si>
    <t>6-8-27</t>
  </si>
  <si>
    <t>6-9-27</t>
  </si>
  <si>
    <t>6-10-27</t>
  </si>
  <si>
    <t>6-11-27</t>
  </si>
  <si>
    <t>6-12-27</t>
  </si>
  <si>
    <t>6-13-27</t>
  </si>
  <si>
    <t>6-14-27</t>
  </si>
  <si>
    <t>7-9-27</t>
  </si>
  <si>
    <t>7-10-27</t>
  </si>
  <si>
    <t>7-11-27</t>
  </si>
  <si>
    <t>7-12-27</t>
  </si>
  <si>
    <t>7-13-27</t>
  </si>
  <si>
    <t>7-14-27</t>
  </si>
  <si>
    <t>7-15-27</t>
  </si>
  <si>
    <t>8-10-27</t>
  </si>
  <si>
    <t>8-11-27</t>
  </si>
  <si>
    <t>8-12-27</t>
  </si>
  <si>
    <t>8-13-27</t>
  </si>
  <si>
    <t>8-14-27</t>
  </si>
  <si>
    <t>8-15-27</t>
  </si>
  <si>
    <t>8-16-27</t>
  </si>
  <si>
    <t>9-11-27</t>
  </si>
  <si>
    <t>9-12-27</t>
  </si>
  <si>
    <t>9-13-27</t>
  </si>
  <si>
    <t>9-14-27</t>
  </si>
  <si>
    <t>9-15-27</t>
  </si>
  <si>
    <t>9-16-27</t>
  </si>
  <si>
    <t>9-17-27</t>
  </si>
  <si>
    <t>10-12-27</t>
  </si>
  <si>
    <t>10-13-27</t>
  </si>
  <si>
    <t>10-14-27</t>
  </si>
  <si>
    <t>10-15-27</t>
  </si>
  <si>
    <t>10-16-27</t>
  </si>
  <si>
    <t>10-17-27</t>
  </si>
  <si>
    <t>10-18-27</t>
  </si>
  <si>
    <t>11-13-27</t>
  </si>
  <si>
    <t>11-14-27</t>
  </si>
  <si>
    <t>11-15-27</t>
  </si>
  <si>
    <t>11-16-27</t>
  </si>
  <si>
    <t>11-17-27</t>
  </si>
  <si>
    <t>11-18-27</t>
  </si>
  <si>
    <t>11-19-27</t>
  </si>
  <si>
    <t>12-14-27</t>
  </si>
  <si>
    <t>12-15-27</t>
  </si>
  <si>
    <t>12-16-27</t>
  </si>
  <si>
    <t>12-17-27</t>
  </si>
  <si>
    <t>12-18-27</t>
  </si>
  <si>
    <t>12-19-27</t>
  </si>
  <si>
    <t>12-20-27</t>
  </si>
  <si>
    <t>13-15-27</t>
  </si>
  <si>
    <t>13-16-27</t>
  </si>
  <si>
    <t>13-17-27</t>
  </si>
  <si>
    <t>13-18-27</t>
  </si>
  <si>
    <t>13-19-27</t>
  </si>
  <si>
    <t>13-20-27</t>
  </si>
  <si>
    <t>13-21-27</t>
  </si>
  <si>
    <t>14-16-27</t>
  </si>
  <si>
    <t>14-17-27</t>
  </si>
  <si>
    <t>14-18-27</t>
  </si>
  <si>
    <t>14-19-27</t>
  </si>
  <si>
    <t>14-20-27</t>
  </si>
  <si>
    <t>14-21-27</t>
  </si>
  <si>
    <t>15-17-27</t>
  </si>
  <si>
    <t>15-18-27</t>
  </si>
  <si>
    <t>15-19-27</t>
  </si>
  <si>
    <t>15-20-27</t>
  </si>
  <si>
    <t>15-21-27</t>
  </si>
  <si>
    <t>15-22-27</t>
  </si>
  <si>
    <t>16-18-27</t>
  </si>
  <si>
    <t>16-19-27</t>
  </si>
  <si>
    <t>16-20-27</t>
  </si>
  <si>
    <t>16-21-27</t>
  </si>
  <si>
    <t>16-22-27</t>
  </si>
  <si>
    <t>17-19-27</t>
  </si>
  <si>
    <t>17-20-27</t>
  </si>
  <si>
    <t>17-21-27</t>
  </si>
  <si>
    <t>17-22-27</t>
  </si>
  <si>
    <t>18-20-27</t>
  </si>
  <si>
    <t>18-21-27</t>
  </si>
  <si>
    <t>18-22-27</t>
  </si>
  <si>
    <t>19-21-27</t>
  </si>
  <si>
    <t>19-22-27</t>
  </si>
  <si>
    <t>20-22-27</t>
  </si>
  <si>
    <t>4-6-28</t>
  </si>
  <si>
    <t>4-7-28</t>
  </si>
  <si>
    <t>4-8-28</t>
  </si>
  <si>
    <t>4-9-28</t>
  </si>
  <si>
    <t>4-10-28</t>
  </si>
  <si>
    <t>4-11-28</t>
  </si>
  <si>
    <t>4-12-28</t>
  </si>
  <si>
    <t>5-7-28</t>
  </si>
  <si>
    <t>5-8-28</t>
  </si>
  <si>
    <t>5-9-28</t>
  </si>
  <si>
    <t>5-10-28</t>
  </si>
  <si>
    <t>5-11-28</t>
  </si>
  <si>
    <t>5-12-28</t>
  </si>
  <si>
    <t>5-13-28</t>
  </si>
  <si>
    <t>6-8-28</t>
  </si>
  <si>
    <t>6-9-28</t>
  </si>
  <si>
    <t>6-10-28</t>
  </si>
  <si>
    <t>6-11-28</t>
  </si>
  <si>
    <t>6-12-28</t>
  </si>
  <si>
    <t>6-13-28</t>
  </si>
  <si>
    <t>6-14-28</t>
  </si>
  <si>
    <t>7-9-28</t>
  </si>
  <si>
    <t>7-10-28</t>
  </si>
  <si>
    <t>7-11-28</t>
  </si>
  <si>
    <t>7-12-28</t>
  </si>
  <si>
    <t>7-13-28</t>
  </si>
  <si>
    <t>7-14-28</t>
  </si>
  <si>
    <t>7-15-28</t>
  </si>
  <si>
    <t>8-10-28</t>
  </si>
  <si>
    <t>8-11-28</t>
  </si>
  <si>
    <t>8-12-28</t>
  </si>
  <si>
    <t>8-13-28</t>
  </si>
  <si>
    <t>8-14-28</t>
  </si>
  <si>
    <t>8-15-28</t>
  </si>
  <si>
    <t>8-16-28</t>
  </si>
  <si>
    <t>9-11-28</t>
  </si>
  <si>
    <t>9-12-28</t>
  </si>
  <si>
    <t>9-13-28</t>
  </si>
  <si>
    <t>9-14-28</t>
  </si>
  <si>
    <t>9-15-28</t>
  </si>
  <si>
    <t>9-16-28</t>
  </si>
  <si>
    <t>9-17-28</t>
  </si>
  <si>
    <t>10-12-28</t>
  </si>
  <si>
    <t>10-13-28</t>
  </si>
  <si>
    <t>10-14-28</t>
  </si>
  <si>
    <t>10-15-28</t>
  </si>
  <si>
    <t>10-16-28</t>
  </si>
  <si>
    <t>10-17-28</t>
  </si>
  <si>
    <t>10-18-28</t>
  </si>
  <si>
    <t>11-13-28</t>
  </si>
  <si>
    <t>11-14-28</t>
  </si>
  <si>
    <t>11-15-28</t>
  </si>
  <si>
    <t>11-16-28</t>
  </si>
  <si>
    <t>11-17-28</t>
  </si>
  <si>
    <t>11-18-28</t>
  </si>
  <si>
    <t>11-19-28</t>
  </si>
  <si>
    <t>12-14-28</t>
  </si>
  <si>
    <t>12-15-28</t>
  </si>
  <si>
    <t>12-16-28</t>
  </si>
  <si>
    <t>12-17-28</t>
  </si>
  <si>
    <t>12-18-28</t>
  </si>
  <si>
    <t>12-19-28</t>
  </si>
  <si>
    <t>12-20-28</t>
  </si>
  <si>
    <t>13-15-28</t>
  </si>
  <si>
    <t>13-16-28</t>
  </si>
  <si>
    <t>13-17-28</t>
  </si>
  <si>
    <t>13-18-28</t>
  </si>
  <si>
    <t>13-19-28</t>
  </si>
  <si>
    <t>13-20-28</t>
  </si>
  <si>
    <t>13-21-28</t>
  </si>
  <si>
    <t>14-16-28</t>
  </si>
  <si>
    <t>14-17-28</t>
  </si>
  <si>
    <t>14-18-28</t>
  </si>
  <si>
    <t>14-19-28</t>
  </si>
  <si>
    <t>14-20-28</t>
  </si>
  <si>
    <t>14-21-28</t>
  </si>
  <si>
    <t>14-22-28</t>
  </si>
  <si>
    <t>15-17-28</t>
  </si>
  <si>
    <t>15-18-28</t>
  </si>
  <si>
    <t>15-19-28</t>
  </si>
  <si>
    <t>15-20-28</t>
  </si>
  <si>
    <t>15-21-28</t>
  </si>
  <si>
    <t>15-22-28</t>
  </si>
  <si>
    <t>15-23-28</t>
  </si>
  <si>
    <t>16-18-28</t>
  </si>
  <si>
    <t>16-19-28</t>
  </si>
  <si>
    <t>16-20-28</t>
  </si>
  <si>
    <t>16-21-28</t>
  </si>
  <si>
    <t>16-22-28</t>
  </si>
  <si>
    <t>16-23-28</t>
  </si>
  <si>
    <t>17-19-28</t>
  </si>
  <si>
    <t>17-20-28</t>
  </si>
  <si>
    <t>17-21-28</t>
  </si>
  <si>
    <t>17-22-28</t>
  </si>
  <si>
    <t>17-23-28</t>
  </si>
  <si>
    <t>18-20-28</t>
  </si>
  <si>
    <t>18-21-28</t>
  </si>
  <si>
    <t>18-22-28</t>
  </si>
  <si>
    <t>18-23-28</t>
  </si>
  <si>
    <t>19-21-28</t>
  </si>
  <si>
    <t>19-22-28</t>
  </si>
  <si>
    <t>19-23-28</t>
  </si>
  <si>
    <t>20-22-28</t>
  </si>
  <si>
    <t>20-23-28</t>
  </si>
  <si>
    <t>4-6-29</t>
  </si>
  <si>
    <t>4-7-29</t>
  </si>
  <si>
    <t>4-8-29</t>
  </si>
  <si>
    <t>4-9-29</t>
  </si>
  <si>
    <t>4-10-29</t>
  </si>
  <si>
    <t>4-11-29</t>
  </si>
  <si>
    <t>4-12-29</t>
  </si>
  <si>
    <t>5-7-29</t>
  </si>
  <si>
    <t>5-8-29</t>
  </si>
  <si>
    <t>5-9-29</t>
  </si>
  <si>
    <t>5-10-29</t>
  </si>
  <si>
    <t>5-11-29</t>
  </si>
  <si>
    <t>5-12-29</t>
  </si>
  <si>
    <t>5-13-29</t>
  </si>
  <si>
    <t>6-8-29</t>
  </si>
  <si>
    <t>6-9-29</t>
  </si>
  <si>
    <t>6-10-29</t>
  </si>
  <si>
    <t>6-11-29</t>
  </si>
  <si>
    <t>6-12-29</t>
  </si>
  <si>
    <t>6-13-29</t>
  </si>
  <si>
    <t>6-14-29</t>
  </si>
  <si>
    <t>7-9-29</t>
  </si>
  <si>
    <t>7-10-29</t>
  </si>
  <si>
    <t>7-11-29</t>
  </si>
  <si>
    <t>7-12-29</t>
  </si>
  <si>
    <t>7-13-29</t>
  </si>
  <si>
    <t>7-14-29</t>
  </si>
  <si>
    <t>7-15-29</t>
  </si>
  <si>
    <t>8-10-29</t>
  </si>
  <si>
    <t>8-11-29</t>
  </si>
  <si>
    <t>8-12-29</t>
  </si>
  <si>
    <t>8-13-29</t>
  </si>
  <si>
    <t>8-14-29</t>
  </si>
  <si>
    <t>8-15-29</t>
  </si>
  <si>
    <t>8-16-29</t>
  </si>
  <si>
    <t>9-11-29</t>
  </si>
  <si>
    <t>9-12-29</t>
  </si>
  <si>
    <t>9-13-29</t>
  </si>
  <si>
    <t>9-14-29</t>
  </si>
  <si>
    <t>9-15-29</t>
  </si>
  <si>
    <t>9-16-29</t>
  </si>
  <si>
    <t>9-17-29</t>
  </si>
  <si>
    <t>10-12-29</t>
  </si>
  <si>
    <t>10-13-29</t>
  </si>
  <si>
    <t>10-14-29</t>
  </si>
  <si>
    <t>10-15-29</t>
  </si>
  <si>
    <t>10-16-29</t>
  </si>
  <si>
    <t>10-17-29</t>
  </si>
  <si>
    <t>10-18-29</t>
  </si>
  <si>
    <t>11-13-29</t>
  </si>
  <si>
    <t>11-14-29</t>
  </si>
  <si>
    <t>11-15-29</t>
  </si>
  <si>
    <t>11-16-29</t>
  </si>
  <si>
    <t>11-17-29</t>
  </si>
  <si>
    <t>11-18-29</t>
  </si>
  <si>
    <t>11-19-29</t>
  </si>
  <si>
    <t>12-14-29</t>
  </si>
  <si>
    <t>12-15-29</t>
  </si>
  <si>
    <t>12-16-29</t>
  </si>
  <si>
    <t>12-17-29</t>
  </si>
  <si>
    <t>12-18-29</t>
  </si>
  <si>
    <t>12-19-29</t>
  </si>
  <si>
    <t>12-20-29</t>
  </si>
  <si>
    <t>13-15-29</t>
  </si>
  <si>
    <t>13-16-29</t>
  </si>
  <si>
    <t>13-17-29</t>
  </si>
  <si>
    <t>13-18-29</t>
  </si>
  <si>
    <t>13-19-29</t>
  </si>
  <si>
    <t>13-20-29</t>
  </si>
  <si>
    <t>13-21-29</t>
  </si>
  <si>
    <t>14-16-29</t>
  </si>
  <si>
    <t>14-17-29</t>
  </si>
  <si>
    <t>14-18-29</t>
  </si>
  <si>
    <t>14-19-29</t>
  </si>
  <si>
    <t>14-20-29</t>
  </si>
  <si>
    <t>14-21-29</t>
  </si>
  <si>
    <t>14-22-29</t>
  </si>
  <si>
    <t>15-17-29</t>
  </si>
  <si>
    <t>15-18-29</t>
  </si>
  <si>
    <t>15-19-29</t>
  </si>
  <si>
    <t>15-20-29</t>
  </si>
  <si>
    <t>15-21-29</t>
  </si>
  <si>
    <t>15-22-29</t>
  </si>
  <si>
    <t>15-23-29</t>
  </si>
  <si>
    <t>16-18-29</t>
  </si>
  <si>
    <t>16-19-29</t>
  </si>
  <si>
    <t>16-20-29</t>
  </si>
  <si>
    <t>16-21-29</t>
  </si>
  <si>
    <t>16-22-29</t>
  </si>
  <si>
    <t>16-23-29</t>
  </si>
  <si>
    <t>16-24-29</t>
  </si>
  <si>
    <t>17-19-29</t>
  </si>
  <si>
    <t>17-20-29</t>
  </si>
  <si>
    <t>17-21-29</t>
  </si>
  <si>
    <t>17-22-29</t>
  </si>
  <si>
    <t>17-23-29</t>
  </si>
  <si>
    <t>17-24-29</t>
  </si>
  <si>
    <t>18-20-29</t>
  </si>
  <si>
    <t>18-21-29</t>
  </si>
  <si>
    <t>18-22-29</t>
  </si>
  <si>
    <t>18-23-29</t>
  </si>
  <si>
    <t>18-24-29</t>
  </si>
  <si>
    <t>19-21-29</t>
  </si>
  <si>
    <t>19-22-29</t>
  </si>
  <si>
    <t>19-23-29</t>
  </si>
  <si>
    <t>19-24-29</t>
  </si>
  <si>
    <t>20-22-29</t>
  </si>
  <si>
    <t>20-23-29</t>
  </si>
  <si>
    <t>20-24-29</t>
  </si>
  <si>
    <t>4-6-30</t>
  </si>
  <si>
    <t>4-7-30</t>
  </si>
  <si>
    <t>4-8-30</t>
  </si>
  <si>
    <t>4-9-30</t>
  </si>
  <si>
    <t>4-10-30</t>
  </si>
  <si>
    <t>4-11-30</t>
  </si>
  <si>
    <t>4-12-30</t>
  </si>
  <si>
    <t>5-7-30</t>
  </si>
  <si>
    <t>5-8-30</t>
  </si>
  <si>
    <t>5-9-30</t>
  </si>
  <si>
    <t>5-10-30</t>
  </si>
  <si>
    <t>5-11-30</t>
  </si>
  <si>
    <t>5-12-30</t>
  </si>
  <si>
    <t>5-13-30</t>
  </si>
  <si>
    <t>6-8-30</t>
  </si>
  <si>
    <t>6-9-30</t>
  </si>
  <si>
    <t>6-10-30</t>
  </si>
  <si>
    <t>6-11-30</t>
  </si>
  <si>
    <t>6-12-30</t>
  </si>
  <si>
    <t>6-13-30</t>
  </si>
  <si>
    <t>6-14-30</t>
  </si>
  <si>
    <t>7-9-30</t>
  </si>
  <si>
    <t>7-10-30</t>
  </si>
  <si>
    <t>7-11-30</t>
  </si>
  <si>
    <t>7-12-30</t>
  </si>
  <si>
    <t>7-13-30</t>
  </si>
  <si>
    <t>7-14-30</t>
  </si>
  <si>
    <t>7-15-30</t>
  </si>
  <si>
    <t>8-10-30</t>
  </si>
  <si>
    <t>8-11-30</t>
  </si>
  <si>
    <t>8-12-30</t>
  </si>
  <si>
    <t>8-13-30</t>
  </si>
  <si>
    <t>8-14-30</t>
  </si>
  <si>
    <t>8-15-30</t>
  </si>
  <si>
    <t>8-16-30</t>
  </si>
  <si>
    <t>9-11-30</t>
  </si>
  <si>
    <t>9-12-30</t>
  </si>
  <si>
    <t>9-13-30</t>
  </si>
  <si>
    <t>9-14-30</t>
  </si>
  <si>
    <t>9-15-30</t>
  </si>
  <si>
    <t>9-16-30</t>
  </si>
  <si>
    <t>9-17-30</t>
  </si>
  <si>
    <t>10-12-30</t>
  </si>
  <si>
    <t>10-13-30</t>
  </si>
  <si>
    <t>10-14-30</t>
  </si>
  <si>
    <t>10-15-30</t>
  </si>
  <si>
    <t>10-16-30</t>
  </si>
  <si>
    <t>10-17-30</t>
  </si>
  <si>
    <t>10-18-30</t>
  </si>
  <si>
    <t>11-13-30</t>
  </si>
  <si>
    <t>11-14-30</t>
  </si>
  <si>
    <t>11-15-30</t>
  </si>
  <si>
    <t>11-16-30</t>
  </si>
  <si>
    <t>11-17-30</t>
  </si>
  <si>
    <t>11-18-30</t>
  </si>
  <si>
    <t>11-19-30</t>
  </si>
  <si>
    <t>12-14-30</t>
  </si>
  <si>
    <t>12-15-30</t>
  </si>
  <si>
    <t>12-16-30</t>
  </si>
  <si>
    <t>12-17-30</t>
  </si>
  <si>
    <t>12-18-30</t>
  </si>
  <si>
    <t>12-19-30</t>
  </si>
  <si>
    <t>12-20-30</t>
  </si>
  <si>
    <t>13-15-30</t>
  </si>
  <si>
    <t>13-16-30</t>
  </si>
  <si>
    <t>13-17-30</t>
  </si>
  <si>
    <t>13-18-30</t>
  </si>
  <si>
    <t>13-19-30</t>
  </si>
  <si>
    <t>13-20-30</t>
  </si>
  <si>
    <t>13-21-30</t>
  </si>
  <si>
    <t>14-16-30</t>
  </si>
  <si>
    <t>14-17-30</t>
  </si>
  <si>
    <t>14-18-30</t>
  </si>
  <si>
    <t>14-19-30</t>
  </si>
  <si>
    <t>14-20-30</t>
  </si>
  <si>
    <t>14-21-30</t>
  </si>
  <si>
    <t>14-22-30</t>
  </si>
  <si>
    <t>15-17-30</t>
  </si>
  <si>
    <t>15-18-30</t>
  </si>
  <si>
    <t>15-19-30</t>
  </si>
  <si>
    <t>15-20-30</t>
  </si>
  <si>
    <t>15-21-30</t>
  </si>
  <si>
    <t>15-22-30</t>
  </si>
  <si>
    <t>15-23-30</t>
  </si>
  <si>
    <t>16-18-30</t>
  </si>
  <si>
    <t>16-19-30</t>
  </si>
  <si>
    <t>16-20-30</t>
  </si>
  <si>
    <t>16-21-30</t>
  </si>
  <si>
    <t>16-22-30</t>
  </si>
  <si>
    <t>16-23-30</t>
  </si>
  <si>
    <t>16-24-30</t>
  </si>
  <si>
    <t>17-19-30</t>
  </si>
  <si>
    <t>17-20-30</t>
  </si>
  <si>
    <t>17-21-30</t>
  </si>
  <si>
    <t>17-22-30</t>
  </si>
  <si>
    <t>17-23-30</t>
  </si>
  <si>
    <t>17-24-30</t>
  </si>
  <si>
    <t>17-25-30</t>
  </si>
  <si>
    <t>18-20-30</t>
  </si>
  <si>
    <t>18-21-30</t>
  </si>
  <si>
    <t>18-22-30</t>
  </si>
  <si>
    <t>18-23-30</t>
  </si>
  <si>
    <t>18-24-30</t>
  </si>
  <si>
    <t>18-25-30</t>
  </si>
  <si>
    <t>19-21-30</t>
  </si>
  <si>
    <t>19-22-30</t>
  </si>
  <si>
    <t>19-23-30</t>
  </si>
  <si>
    <t>19-24-30</t>
  </si>
  <si>
    <t>19-25-30</t>
  </si>
  <si>
    <t>20-22-30</t>
  </si>
  <si>
    <t>20-23-30</t>
  </si>
  <si>
    <t>20-24-30</t>
  </si>
  <si>
    <t>20-25-30</t>
  </si>
  <si>
    <t>Leistungen ALLCO COLD 288-125-T4 pro Ventilator</t>
  </si>
  <si>
    <t>VL</t>
  </si>
  <si>
    <t>RL</t>
  </si>
  <si>
    <t>TI</t>
  </si>
  <si>
    <t>Heizen</t>
  </si>
  <si>
    <t>Kühlen</t>
  </si>
  <si>
    <t>Sprache</t>
  </si>
  <si>
    <t>D</t>
  </si>
  <si>
    <t>F</t>
  </si>
  <si>
    <t>Modell</t>
  </si>
  <si>
    <t>COLD 288-125-T2</t>
  </si>
  <si>
    <t>Element He [mm]</t>
  </si>
  <si>
    <t>QK50</t>
  </si>
  <si>
    <t>QK30</t>
  </si>
  <si>
    <t>QS50</t>
  </si>
  <si>
    <t>QS30</t>
  </si>
  <si>
    <t>Leistungsprozent</t>
  </si>
  <si>
    <t>Raumtemperatur</t>
  </si>
  <si>
    <t>Températures de fonctionnement</t>
  </si>
  <si>
    <t>Modèle</t>
  </si>
  <si>
    <t>Régime des ventilateurs</t>
  </si>
  <si>
    <t>Température ambiante</t>
  </si>
  <si>
    <t>DT50</t>
  </si>
  <si>
    <t>Puissances frigorifiques [W]</t>
  </si>
  <si>
    <t>Puissances calorifiques [W]</t>
  </si>
  <si>
    <t>Bodenkonvektor Heizen / Kühlen im 2-Leiter System</t>
  </si>
  <si>
    <t>COLD 288-125-T4</t>
  </si>
  <si>
    <t>Bodenkonvektor Heizen / Kühlen im 4-Leiter System</t>
  </si>
  <si>
    <t>Convecteurs de sol en chaud / froid, système 2-tubes</t>
  </si>
  <si>
    <t>Convecteurs de sol en chaud / froid, système 4-tubes</t>
  </si>
  <si>
    <t>1430 mm</t>
  </si>
  <si>
    <t>2210 mm</t>
  </si>
  <si>
    <t>930 mm</t>
  </si>
  <si>
    <t>1710 mm</t>
  </si>
  <si>
    <t>2490 mm</t>
  </si>
  <si>
    <t>18-22-26</t>
  </si>
  <si>
    <t>Querstromventilator Walzen</t>
  </si>
  <si>
    <t>Turbine de ventilateur</t>
  </si>
  <si>
    <t>QVw / M</t>
  </si>
  <si>
    <t>1 / 1</t>
  </si>
  <si>
    <t>2 / 1</t>
  </si>
  <si>
    <t>3 / 2</t>
  </si>
  <si>
    <t>4 / 2</t>
  </si>
  <si>
    <t>5 / 3</t>
  </si>
  <si>
    <t>6 / 3</t>
  </si>
  <si>
    <t>Bei Veränderungen der Standardteile können Abweichungen entstehen</t>
  </si>
  <si>
    <t>Des modifications de la configuration standard peuvent entraîner des écarts</t>
  </si>
  <si>
    <t>Gesamtlänge Bodenkonvektor</t>
  </si>
  <si>
    <t>Longueur caniveau de sol</t>
  </si>
  <si>
    <t>Breite Bodenkonvektor</t>
  </si>
  <si>
    <t>Largeur caniveau de sol</t>
  </si>
  <si>
    <t>Höhe Bodenkonvektor</t>
  </si>
  <si>
    <t>Hauteur caniveau de sol</t>
  </si>
  <si>
    <t>Die Zwischenlängen werden durch Leerstücke angepasst.</t>
  </si>
  <si>
    <t>Les longueurs intermédiaires sont réalisées en rallonge de caniveau vide.</t>
  </si>
  <si>
    <t>Rallonge de caniveau destinée à l'intégration d'un module de régulation</t>
  </si>
  <si>
    <t>1230 mm</t>
  </si>
  <si>
    <t>2010 mm</t>
  </si>
  <si>
    <t>2790 mm</t>
  </si>
  <si>
    <t>580 mm</t>
  </si>
  <si>
    <t>880 mm</t>
  </si>
  <si>
    <t>1360 mm</t>
  </si>
  <si>
    <t>1660 mm</t>
  </si>
  <si>
    <t>2140 mm</t>
  </si>
  <si>
    <t>2440 mm</t>
  </si>
  <si>
    <t>COLD 288-125-N2</t>
  </si>
  <si>
    <t>COLD 288-125-N4</t>
  </si>
  <si>
    <t>1130 mm</t>
  </si>
  <si>
    <t>1910 mm</t>
  </si>
  <si>
    <t>2690 mm</t>
  </si>
  <si>
    <t>630 mm</t>
  </si>
  <si>
    <t>1410 mm</t>
  </si>
  <si>
    <t>2190 mm</t>
  </si>
  <si>
    <t>Qt [W]</t>
  </si>
  <si>
    <t>Qs [W]</t>
  </si>
  <si>
    <t>Wanne  Bk [mm]</t>
  </si>
  <si>
    <t>Caniveau Bk [mm]</t>
  </si>
  <si>
    <t>T2: Rafraîchissement à effet de condensation réduit, sans écoulement des condensats; Système 2-tubes</t>
  </si>
  <si>
    <t>T4: Rafraîchissement à effet de condensation réduit, sans écoulement des condensats; Système 4-tubes</t>
  </si>
  <si>
    <t>N2: Rafraîchissement avec bac et écoulement des condensats; Système 2-tubes</t>
  </si>
  <si>
    <t>N4: Rafraîchissement avec bac et écoulement des condensats; Système 4-tubes</t>
  </si>
  <si>
    <t>Qt [W] Puissance frigorifique totale</t>
  </si>
  <si>
    <t>Qs [W] Puissance frigorifique sensible</t>
  </si>
  <si>
    <t>X: Erweiterung des Bodenkanals um ein Regulierungsmodul zu integrieren</t>
  </si>
  <si>
    <t>Heizmedium  (PWW)</t>
  </si>
  <si>
    <t>Kühlmedium  (PKW)</t>
  </si>
  <si>
    <t>Qt [W]: Kühlleistung gesamt</t>
  </si>
  <si>
    <t>Qs [W]: Kühlleistung sensibel</t>
  </si>
  <si>
    <t>2990 mm</t>
  </si>
  <si>
    <t>Elément He [mm]</t>
  </si>
  <si>
    <t>18-23-27</t>
  </si>
  <si>
    <t>18-23-26</t>
  </si>
  <si>
    <t>rot= extrapoliert Allco</t>
  </si>
  <si>
    <t>COLD 256-160-T2</t>
  </si>
  <si>
    <t>COLD 256-160-N2</t>
  </si>
  <si>
    <t>COLD 256-160-T4</t>
  </si>
  <si>
    <t>16-21-25</t>
  </si>
  <si>
    <t>16-21-24</t>
  </si>
  <si>
    <t>COLD 256-160-N4</t>
  </si>
  <si>
    <t>16-19-23</t>
  </si>
  <si>
    <t>16-19-22</t>
  </si>
  <si>
    <t>17-20-24</t>
  </si>
  <si>
    <t>17-20-23</t>
  </si>
  <si>
    <t>17-20-22</t>
  </si>
  <si>
    <t>11.2019</t>
  </si>
  <si>
    <t>Wasserwiderstände für 2-Leitersysteme</t>
  </si>
  <si>
    <t>Druckverlust [kPa]</t>
  </si>
  <si>
    <t>COLD 288 / COLD 256 - T2 - N2</t>
  </si>
  <si>
    <t>Element He Länge [mm]</t>
  </si>
  <si>
    <t>Elément He Longueur [mm]</t>
  </si>
  <si>
    <t>Perte de charge [kPa]</t>
  </si>
  <si>
    <t>Pertes de charge hydrauliques système 2-tubes</t>
  </si>
  <si>
    <t>COLD 288 / COLD 256 - T4 - N4</t>
  </si>
  <si>
    <t>Wasserwiderstände für 4-Leitersysteme</t>
  </si>
  <si>
    <t>Pertes de charge hydrauliques système 4-tubes</t>
  </si>
  <si>
    <t>Chauffer</t>
  </si>
  <si>
    <t>Rafraîchir</t>
  </si>
  <si>
    <t>Bei abweichenden Abdeckungen, ist mit einer Leistungsminderung zu rechnen</t>
  </si>
  <si>
    <t>04.2020</t>
  </si>
  <si>
    <t>L'utilisation d'un autre type de grille engendre une réduction des puissances</t>
  </si>
  <si>
    <t>18-21-24</t>
  </si>
  <si>
    <t>18-21-25</t>
  </si>
  <si>
    <t>20-22-26</t>
  </si>
  <si>
    <t>20-22-25</t>
  </si>
  <si>
    <t>19-22-26</t>
  </si>
  <si>
    <t>%100</t>
  </si>
  <si>
    <t>%180</t>
  </si>
  <si>
    <t>%60</t>
  </si>
  <si>
    <t>%50</t>
  </si>
  <si>
    <t>%40</t>
  </si>
  <si>
    <t>%30</t>
  </si>
  <si>
    <t>%20</t>
  </si>
  <si>
    <t>Q</t>
  </si>
  <si>
    <t>Leistungen ALLCO COLD 288-125</t>
  </si>
  <si>
    <t>Q2</t>
  </si>
  <si>
    <t>S2</t>
  </si>
  <si>
    <t>Q4</t>
  </si>
  <si>
    <t>S4</t>
  </si>
  <si>
    <t>Breite</t>
  </si>
  <si>
    <t>Höhe</t>
  </si>
  <si>
    <t>Leiter</t>
  </si>
  <si>
    <t>Länge 1</t>
  </si>
  <si>
    <t>Länge 2</t>
  </si>
  <si>
    <t>Länge 3</t>
  </si>
  <si>
    <t>Länge 4</t>
  </si>
  <si>
    <t>Länge 5</t>
  </si>
  <si>
    <t>Länge 6</t>
  </si>
  <si>
    <t>Deutsch</t>
  </si>
  <si>
    <t>Français</t>
  </si>
  <si>
    <t>English</t>
  </si>
  <si>
    <t>Element</t>
  </si>
  <si>
    <t>Wanne</t>
  </si>
  <si>
    <t>1/1</t>
  </si>
  <si>
    <t>2/1</t>
  </si>
  <si>
    <t>3/2</t>
  </si>
  <si>
    <t>4/2</t>
  </si>
  <si>
    <t>5/3</t>
  </si>
  <si>
    <t>6/3</t>
  </si>
  <si>
    <t>Temp. Kühlen</t>
  </si>
  <si>
    <t>DT Heizen</t>
  </si>
  <si>
    <t>Langage</t>
  </si>
  <si>
    <t>Températur Départ [°C]</t>
  </si>
  <si>
    <t>Températur Retour [°C]</t>
  </si>
  <si>
    <t>Températur Ambiante [°C]</t>
  </si>
  <si>
    <t>Querstromventilator Typ EC65  24VDC</t>
  </si>
  <si>
    <t>Ventilateurs tangentiels EC65  24VDC</t>
  </si>
  <si>
    <t>Leistungsdaten mit Abdeckung, Rollrost Typ 941-17-B (f.Q. 70%)</t>
  </si>
  <si>
    <t>Tableau de puissances avec grille enroulable type 941-17-B (section libre 70%)</t>
  </si>
  <si>
    <t>M: Anzahl Motoren</t>
  </si>
  <si>
    <t>M: nombre de moteurs de ventilateur</t>
  </si>
  <si>
    <t>QVw: Anzahl Ventilatoren-Walzen</t>
  </si>
  <si>
    <t>QVw: nombre de turbines de ventilateur</t>
  </si>
  <si>
    <t>T2: Trockene Kühlung - 2-Leiter-System ohne Ablaufstutzen für Kondensat</t>
  </si>
  <si>
    <t>T4: Trockene Kühlung - 4-Leiter-System ohne Ablaufstutzen für Kondensat</t>
  </si>
  <si>
    <t>ṁ: Wassermassenstrom [kg/h]</t>
  </si>
  <si>
    <t>ṁ: Débit d'eau [kg/h]</t>
  </si>
  <si>
    <t>N2: Nasse Kühlung - 2-Leiter-System mit Ablaufwanne und Ablaufstutzen für Kondensat</t>
  </si>
  <si>
    <t>N4: Nasse Kühlung - 4-Leiter-System mit Ablaufwanne und Ablaufstutzen für Kondensat</t>
  </si>
  <si>
    <t>15-19-23</t>
  </si>
  <si>
    <t>TXT</t>
  </si>
  <si>
    <t>Q [W]</t>
  </si>
  <si>
    <t>Sonderkonstruktion unterliegen nicht jener Leistungstabelle</t>
  </si>
  <si>
    <t>Les adaptations spéciales ne relèvent pas de ce tableau</t>
  </si>
  <si>
    <t>Eingabefehler! Eine Temperatur liegt ausserhalb des erwarteten Bereichs!</t>
  </si>
  <si>
    <t>Minimale Wassermassenströme von ca. 20 kg/h sollen eingehalten werden</t>
  </si>
  <si>
    <t>Respecter un débit d'eau minimum de 20kg/h</t>
  </si>
  <si>
    <t>Angabe in Watt  pro Bodenkonvektor-Länge Bk [mm]</t>
  </si>
  <si>
    <t>Indication en Watt par longueur de caniveau Bk [mm]</t>
  </si>
  <si>
    <t>Kühlleistung [W]</t>
  </si>
  <si>
    <t>Heizleistung [W]</t>
  </si>
  <si>
    <t>Leistung nach DIN EN 16430</t>
  </si>
  <si>
    <t>Puissances selon DIN EN 16430</t>
  </si>
  <si>
    <t>ṁ (*)</t>
  </si>
  <si>
    <t>Angabe in Watt pro Bodenkonvektor-Länge Bk; Leistung nach DIN EN 16430</t>
  </si>
  <si>
    <t>Puissances indiquées en Watt par Longueur de convecteur Bk selon DIN EN 16430</t>
  </si>
  <si>
    <t>Le débit d'eau est obtenu par calcul; à mettre en correspondance avec les limites admises</t>
  </si>
  <si>
    <t>Status Kühlen</t>
  </si>
  <si>
    <t>Fehlermeldung / Ausserhalb Leistungstabelle - Technik Allco kontaktieren</t>
  </si>
  <si>
    <t>Erreur de saisie! Une température est hors des limites tolérées!</t>
  </si>
  <si>
    <t>Températures hors tableaux convectionnels; veuillez contacter le service technique</t>
  </si>
  <si>
    <t>Massenstrom rechnerisch ermilltelt, allfäliger Projektabgleich machen</t>
  </si>
  <si>
    <t>16-20-24</t>
  </si>
  <si>
    <t>LIB 176-90 POWER+</t>
  </si>
  <si>
    <t>LIB 224-90 POWER+</t>
  </si>
  <si>
    <t>LIB 240-90 POWER+</t>
  </si>
  <si>
    <t>LIB 272-90 POWER+</t>
  </si>
  <si>
    <t>LIB 304-90 POWER+</t>
  </si>
  <si>
    <t>LIB 336-90 POWER+</t>
  </si>
  <si>
    <t>LIB 368-90 POWER+</t>
  </si>
  <si>
    <t>Elément JAGA</t>
  </si>
  <si>
    <t>ALT</t>
  </si>
  <si>
    <t>C144</t>
  </si>
  <si>
    <t>C176</t>
  </si>
  <si>
    <t>C224</t>
  </si>
  <si>
    <t>C240</t>
  </si>
  <si>
    <t>C272</t>
  </si>
  <si>
    <t>C304</t>
  </si>
  <si>
    <t>C336</t>
  </si>
  <si>
    <t>C368</t>
  </si>
  <si>
    <t>Elément ALLCO</t>
  </si>
  <si>
    <t>LIB 176-120 POWER+</t>
  </si>
  <si>
    <t>LIB 224-120 POWER+</t>
  </si>
  <si>
    <t>LIB 240-120 POWER+</t>
  </si>
  <si>
    <t>LIB 272-120 POWER+</t>
  </si>
  <si>
    <t>LIB 304-120 POWER+</t>
  </si>
  <si>
    <t>LIB 336-120 POWER+</t>
  </si>
  <si>
    <t>LIB 368-120 POWER+</t>
  </si>
  <si>
    <t>Berippte L</t>
  </si>
  <si>
    <t>Q pro M Beript</t>
  </si>
  <si>
    <t>LIB 176-150 POWER+</t>
  </si>
  <si>
    <t>LIB 224-150 POWER+</t>
  </si>
  <si>
    <t>LIB 240-150 POWER+</t>
  </si>
  <si>
    <t>LIB 272-150 POWER+</t>
  </si>
  <si>
    <t>LIB 304-150 POWER+</t>
  </si>
  <si>
    <t>LIB 336-150 POWER+</t>
  </si>
  <si>
    <t>LIB 368-150 POWER+</t>
  </si>
  <si>
    <t>Elément Allco</t>
  </si>
  <si>
    <t>LIB 176-200 POWER+</t>
  </si>
  <si>
    <t>LIB 224-200 POWER+</t>
  </si>
  <si>
    <t>LIB 240-200 POWER+</t>
  </si>
  <si>
    <t>LIB 272-200 POWER+</t>
  </si>
  <si>
    <t>LIB 304-200 POWER+</t>
  </si>
  <si>
    <t>LIB 336-200 POWER+</t>
  </si>
  <si>
    <t>LIB 368-200 POWER+</t>
  </si>
  <si>
    <t>v02.2021</t>
  </si>
  <si>
    <t>DT</t>
  </si>
  <si>
    <t>Faktor</t>
  </si>
  <si>
    <t>Reihe</t>
  </si>
  <si>
    <t>FAN 192-090</t>
  </si>
  <si>
    <t>FAN 224-090</t>
  </si>
  <si>
    <t>FAN 272-090</t>
  </si>
  <si>
    <t>FAN 176-109</t>
  </si>
  <si>
    <t>FAN 224-109</t>
  </si>
  <si>
    <t>FAN 272-109</t>
  </si>
  <si>
    <t>FAN 256-125</t>
  </si>
  <si>
    <t>FAN 304-125</t>
  </si>
  <si>
    <t>CVQ176-1</t>
  </si>
  <si>
    <t>CVQ176-2</t>
  </si>
  <si>
    <t>CVQ176-3</t>
  </si>
  <si>
    <t>CVQ224-1</t>
  </si>
  <si>
    <t>CVQ224-2</t>
  </si>
  <si>
    <t>CVQ224-3</t>
  </si>
  <si>
    <t>CVQ272-1</t>
  </si>
  <si>
    <t>CVQ272-2</t>
  </si>
  <si>
    <t>CVQ272-3</t>
  </si>
  <si>
    <t>Venti</t>
  </si>
  <si>
    <t>5.5</t>
  </si>
  <si>
    <t>/ml frei K</t>
  </si>
  <si>
    <t>modifié</t>
  </si>
  <si>
    <t>Wanne Bk [mm]</t>
  </si>
  <si>
    <t>2 Walzen  [Vn]</t>
  </si>
  <si>
    <t>2 turbines  [Vn]</t>
  </si>
  <si>
    <t>3 Walzen  [Vn]</t>
  </si>
  <si>
    <t>3 turbines  [Vn]</t>
  </si>
  <si>
    <t>4 Walzen  [Vn]</t>
  </si>
  <si>
    <t>4 turbines  [Vn]</t>
  </si>
  <si>
    <t>5 Walzen  [Vn]</t>
  </si>
  <si>
    <t>5 turbines  [Vn]</t>
  </si>
  <si>
    <t>6 Walzen  [Vn]</t>
  </si>
  <si>
    <t>6 turbines  [Vn]</t>
  </si>
  <si>
    <t>Anzahl Walzen</t>
  </si>
  <si>
    <t>Nb ventilateurs</t>
  </si>
  <si>
    <t>Heizmedium</t>
  </si>
  <si>
    <t>Medium de chauffage</t>
  </si>
  <si>
    <t>Ventilator</t>
  </si>
  <si>
    <t>Ventilateur</t>
  </si>
  <si>
    <t>Leistungen [W]</t>
  </si>
  <si>
    <t>Puissances [W]</t>
  </si>
  <si>
    <t>Régime</t>
  </si>
  <si>
    <t>Wärmeleistungen in Anlehnung an EN 442-2</t>
  </si>
  <si>
    <t>Puissances en adossement à la norme EN 442-2</t>
  </si>
  <si>
    <t>Breite B [mm]</t>
  </si>
  <si>
    <t>Largeur B [mm!</t>
  </si>
  <si>
    <t>Höhe [mm]</t>
  </si>
  <si>
    <t>Hauteur [mm]</t>
  </si>
  <si>
    <t>Querstromgebläse EC45 24VDC</t>
  </si>
  <si>
    <t>Ventilateur tangentiel EC45 24VDC</t>
  </si>
  <si>
    <t>Bei Auslagerung der Steuerung (Black-Box) kann die minimale Wanne-Länge Bk um 200 mm gekürzt werden</t>
  </si>
  <si>
    <t>La longueur minimale Bk peut être réduite de 200 mm si le boîtier de régulation (Black-Box) n'est pas placé dans le caniveau</t>
  </si>
  <si>
    <t>Querstromgebläse EC65</t>
  </si>
  <si>
    <t>Ventilateur tangentiel EC65</t>
  </si>
  <si>
    <t>Querstromgebläse EC40</t>
  </si>
  <si>
    <t>Ventilateur tangentiel EC40</t>
  </si>
  <si>
    <t>Kühlmedium</t>
  </si>
  <si>
    <t>Medium de Rafraîchissement</t>
  </si>
  <si>
    <t>Trockene Kühlung - 2-Leiter-System</t>
  </si>
  <si>
    <t>Rafraîchissement à effet de condensation réduit; Système 2-tubes</t>
  </si>
  <si>
    <t>Trockene Kühlung - 4-Leiter-System</t>
  </si>
  <si>
    <t>Rafraîchissement à effet de condensation réduit; Système 4-tubes</t>
  </si>
  <si>
    <t>Nasse Kühlung mit Ablaufwanne für Kondenswasser - 2-Leiter-System</t>
  </si>
  <si>
    <t>Rafraîchissement avec bac à condensats; Système 2-tubes</t>
  </si>
  <si>
    <r>
      <t xml:space="preserve">Leistungen bei </t>
    </r>
    <r>
      <rPr>
        <sz val="10"/>
        <rFont val="GreekC"/>
      </rPr>
      <t>D</t>
    </r>
    <r>
      <rPr>
        <sz val="10"/>
        <rFont val="Arial"/>
        <family val="2"/>
      </rPr>
      <t>T 10K in Anlehnung an DIN EN 14518</t>
    </r>
  </si>
  <si>
    <r>
      <t xml:space="preserve">Puissances en </t>
    </r>
    <r>
      <rPr>
        <sz val="10"/>
        <rFont val="GreekC"/>
      </rPr>
      <t>D</t>
    </r>
    <r>
      <rPr>
        <sz val="10"/>
        <rFont val="Arial"/>
        <family val="2"/>
      </rPr>
      <t>T 10K en connexité avec la norme DIN EN 14518</t>
    </r>
  </si>
  <si>
    <t>Nasse Kühlung mit Ablaufwanne für Kondenswasser - 4-Leiter-System</t>
  </si>
  <si>
    <t>Rafraîchissement avec bac à condensats; Système 4-tubes</t>
  </si>
  <si>
    <t>Stufe</t>
  </si>
  <si>
    <t>Vitesse</t>
  </si>
  <si>
    <t>Motor</t>
  </si>
  <si>
    <t>Moteur de ventilateur</t>
  </si>
  <si>
    <t>Bodenkonvektor Modell FAN-109</t>
  </si>
  <si>
    <t>Convecteur de sol modèle FAN-109</t>
  </si>
  <si>
    <t>Angabe in Watt  pro Bodenkonvektor-Länge L [mm]</t>
  </si>
  <si>
    <t>mit 3-stufigen Querstromventilatoren AC45  230V / 50Hz</t>
  </si>
  <si>
    <t>avec ventilateurs tangentiels AC45  230V / 50Hz</t>
  </si>
  <si>
    <t>mit stufenloser Querstromventilatoren EC45  24V</t>
  </si>
  <si>
    <t>avec ventilateurs tangentiels EC45  24V à régulation continue</t>
  </si>
  <si>
    <t>Erweiterung des Bodenkanals um ein Regulierungsmodul zu integrieren</t>
  </si>
  <si>
    <t>Bodenkonvektor Modell FAN-090</t>
  </si>
  <si>
    <t>Convecteur de sol modèle FAN-090</t>
  </si>
  <si>
    <t>mit stufenloser Querstromventilatoren EC40  24V</t>
  </si>
  <si>
    <t>avec ventilateurs tangentiels EC40  24V à régulation continue</t>
  </si>
  <si>
    <t>Bodenkonvektor Modell FAN-125</t>
  </si>
  <si>
    <t>Convecteur de sol modèle FAN-125</t>
  </si>
  <si>
    <t>mit stufenloser Querstromventilatoren EC65  24V</t>
  </si>
  <si>
    <t>avec ventilateurs tangentiels EC65  24V à régulation continue</t>
  </si>
  <si>
    <t>Bodenkonvektor Modell LIB-120</t>
  </si>
  <si>
    <t>Convecteur de sol modèle LIB-120</t>
  </si>
  <si>
    <t>für freie Konvektion</t>
  </si>
  <si>
    <t>Convection naturelle</t>
  </si>
  <si>
    <t>Bodenkonvektor Modell LIB-090</t>
  </si>
  <si>
    <t>Convecteur de sol modèle LIB-090</t>
  </si>
  <si>
    <t>Bodenkonvektor Modell LIB-140</t>
  </si>
  <si>
    <t>Convecteur de sol modèle LIB-140</t>
  </si>
  <si>
    <t>Bodenkonvektor Modell LIB-190</t>
  </si>
  <si>
    <t>Convecteur de sol modèle LIB-190</t>
  </si>
  <si>
    <t>UMRECHNUNGSFAKTOREN   FAN-90 + FAN-109 + FAN-125</t>
  </si>
  <si>
    <t>COEFFICIENTS DE CORRECTION   FAN-90 + FAN-109 + FAN-125</t>
  </si>
  <si>
    <t>Allco  FAN-Modell   Höhe 90 mm, 109 mm und 125 mm</t>
  </si>
  <si>
    <t>Allco  Modèle FAN   Hauteur 90 mm, 109 mm et 125 mm</t>
  </si>
  <si>
    <t>Umrechnungsfaktoren zur Umrechnung der Norm-Wärmeleistung bei Heizmedium 75 / 65 / +20 °C</t>
  </si>
  <si>
    <t>Coefficients de correction pour le calcul des puissances à appliquer sur le régime de températures 75 / 65 / +20 °C</t>
  </si>
  <si>
    <r>
      <t>t</t>
    </r>
    <r>
      <rPr>
        <sz val="6"/>
        <color rgb="FF000000"/>
        <rFont val="Calibri"/>
        <family val="2"/>
      </rPr>
      <t>VL</t>
    </r>
    <r>
      <rPr>
        <sz val="11"/>
        <color rgb="FF000000"/>
        <rFont val="Calibri"/>
        <family val="2"/>
      </rPr>
      <t xml:space="preserve"> = Vorlauftemperatur  [°C]</t>
    </r>
  </si>
  <si>
    <r>
      <t>t</t>
    </r>
    <r>
      <rPr>
        <sz val="6"/>
        <color rgb="FF000000"/>
        <rFont val="Calibri"/>
        <family val="2"/>
      </rPr>
      <t>VL</t>
    </r>
    <r>
      <rPr>
        <sz val="11"/>
        <color rgb="FF000000"/>
        <rFont val="Calibri"/>
        <family val="2"/>
      </rPr>
      <t xml:space="preserve"> = Température Aller  [°C]</t>
    </r>
  </si>
  <si>
    <r>
      <t>t</t>
    </r>
    <r>
      <rPr>
        <sz val="6"/>
        <color rgb="FF000000"/>
        <rFont val="Calibri"/>
        <family val="2"/>
      </rPr>
      <t>i</t>
    </r>
    <r>
      <rPr>
        <sz val="11"/>
        <color rgb="FF000000"/>
        <rFont val="Calibri"/>
        <family val="2"/>
      </rPr>
      <t xml:space="preserve"> = Raumlufttemperatur  [°C]</t>
    </r>
  </si>
  <si>
    <r>
      <t>t</t>
    </r>
    <r>
      <rPr>
        <sz val="6"/>
        <color rgb="FF000000"/>
        <rFont val="Calibri"/>
        <family val="2"/>
      </rPr>
      <t>i</t>
    </r>
    <r>
      <rPr>
        <sz val="11"/>
        <color rgb="FF000000"/>
        <rFont val="Calibri"/>
        <family val="2"/>
      </rPr>
      <t xml:space="preserve"> = Température ambiante  [°C]</t>
    </r>
  </si>
  <si>
    <r>
      <t>t</t>
    </r>
    <r>
      <rPr>
        <sz val="6"/>
        <color rgb="FF000000"/>
        <rFont val="Calibri"/>
        <family val="2"/>
      </rPr>
      <t>RL</t>
    </r>
    <r>
      <rPr>
        <sz val="11"/>
        <color rgb="FF000000"/>
        <rFont val="Calibri"/>
        <family val="2"/>
      </rPr>
      <t xml:space="preserve"> = Rücklauftemperatur  [°C]</t>
    </r>
  </si>
  <si>
    <r>
      <t>t</t>
    </r>
    <r>
      <rPr>
        <sz val="6"/>
        <color rgb="FF000000"/>
        <rFont val="Calibri"/>
        <family val="2"/>
      </rPr>
      <t>RL</t>
    </r>
    <r>
      <rPr>
        <sz val="11"/>
        <color rgb="FF000000"/>
        <rFont val="Calibri"/>
        <family val="2"/>
      </rPr>
      <t xml:space="preserve"> = Température Retour [°C]</t>
    </r>
  </si>
  <si>
    <t>UMRECHNUNGSFAKTOREN   LIB-90 + LIB-109 + LIB-140 + LIB-190</t>
  </si>
  <si>
    <t>COEFFICIENTS DE CORRECTION   LIB-90 + LIB-109 + LIB-140 + LIB-190</t>
  </si>
  <si>
    <t>Allco  LIB-Modell   Höhe 90 mm, 109 mm, 140 mm und 190 mm</t>
  </si>
  <si>
    <t>Allco  Modèle LIB   Hauteur 90 mm, 109 mm, 140 mm et 190 mm</t>
  </si>
  <si>
    <t>Bei Sonderkonstruktionen dient die Leistungstabelle als Richtwert</t>
  </si>
  <si>
    <t>Pour les adaptations spéciales, les valeurs de ce tableau serviront de repère</t>
  </si>
  <si>
    <t>Bodenkonvektor Modell LIB-109</t>
  </si>
  <si>
    <t>Convecteur de sol modèle LIB-109</t>
  </si>
  <si>
    <t>Bodenkonvektor Modell LIB-150  POWER+</t>
  </si>
  <si>
    <t>Convecteur de sol modèle LIB-150  POWER +</t>
  </si>
  <si>
    <t>Bodenkonvektor Modell LIB-200  POWER+</t>
  </si>
  <si>
    <t>Convecteur de sol modèle LIB-200  POWER +</t>
  </si>
  <si>
    <t>Leistungsdaten mit Abdeckung, Rollrost Typ 941-17-B</t>
  </si>
  <si>
    <t>Tableau de puissances avec grille enroulable type 941-17-B</t>
  </si>
  <si>
    <t>Wärmeleistung</t>
  </si>
  <si>
    <t>Puissance</t>
  </si>
  <si>
    <t>Vorlauftemperatur</t>
  </si>
  <si>
    <t>Température Départ</t>
  </si>
  <si>
    <t>Rücklauftemperatur</t>
  </si>
  <si>
    <t>Température Retour</t>
  </si>
  <si>
    <t>Wassermassenstrom</t>
  </si>
  <si>
    <t>Débit d'eau</t>
  </si>
  <si>
    <t>Bodenkonvektor-Länge</t>
  </si>
  <si>
    <t>Longueur caniveau</t>
  </si>
  <si>
    <t>Bodenkonvektoren für freie Konvektion</t>
  </si>
  <si>
    <t>Convecteurs de sol en convection libre</t>
  </si>
  <si>
    <t>Bodenwanne Höhe [mm]</t>
  </si>
  <si>
    <t>Hauteur du caniveau de sol [mm]</t>
  </si>
  <si>
    <t>Bodenkonvektor ARIA</t>
  </si>
  <si>
    <t>Convecteur de sol ARIA</t>
  </si>
  <si>
    <t>mit Primärlufteinführung</t>
  </si>
  <si>
    <t>avec pulsion d'air neuf</t>
  </si>
  <si>
    <t>Gesamte Luftmenge</t>
  </si>
  <si>
    <t>Débit d'air Total</t>
  </si>
  <si>
    <t>Anzahl Luftanschl.</t>
  </si>
  <si>
    <t>Nombre piquages</t>
  </si>
  <si>
    <t>Grösse Luftanschlüsse</t>
  </si>
  <si>
    <t>Diamètre piquages</t>
  </si>
  <si>
    <t>Zuluft Einfuhr</t>
  </si>
  <si>
    <t>Entrée ventilation</t>
  </si>
  <si>
    <t>Typ</t>
  </si>
  <si>
    <t>Type</t>
  </si>
  <si>
    <t>Länge belüftet v [mm]</t>
  </si>
  <si>
    <t>Long. ventilée v [mm]</t>
  </si>
  <si>
    <t>Heizelement</t>
  </si>
  <si>
    <t>Echangeur thermique</t>
  </si>
  <si>
    <t>Grösse</t>
  </si>
  <si>
    <t>Heizelement Länge</t>
  </si>
  <si>
    <t>Longueur échangeur</t>
  </si>
  <si>
    <t>Wärmeleistungen bei isothermer Lufteinführung in Anlehnung an EN 442-2</t>
  </si>
  <si>
    <t>Puissance avec ventilation isotherme en adossement à la norme EN 442-2</t>
  </si>
  <si>
    <t>Lamellierte Heizelement Länge belüftet</t>
  </si>
  <si>
    <t>Longueur lamellée d'échangeur ventilée</t>
  </si>
  <si>
    <t>Langue</t>
  </si>
  <si>
    <r>
      <t>QV</t>
    </r>
    <r>
      <rPr>
        <sz val="8"/>
        <rFont val="Arial"/>
        <family val="2"/>
      </rPr>
      <t>w</t>
    </r>
    <r>
      <rPr>
        <sz val="10"/>
        <rFont val="Arial"/>
        <family val="2"/>
      </rPr>
      <t>: Anzahl Ventilatoren-Walzen</t>
    </r>
  </si>
  <si>
    <t>Tableau de puissances avec grille enroulable type 941-17-B (passage libre 70%)</t>
  </si>
  <si>
    <t>Erreur de saisie! Une tempértature est hors des limites tolérées!</t>
  </si>
  <si>
    <t>Massenstrom rechnerisch ermittelt, allfäliger Projektabgleich machen</t>
  </si>
  <si>
    <t>Le débit d'eau est obtenu par calcul. Le résultat est à mettre en correspondance avec les limites admises</t>
  </si>
  <si>
    <t>FAN 192</t>
  </si>
  <si>
    <t>FAN 224</t>
  </si>
  <si>
    <t>FAN 272</t>
  </si>
  <si>
    <t>B  [mm]</t>
  </si>
  <si>
    <t>H  [mm]</t>
  </si>
  <si>
    <t>Cu/Al 75x45</t>
  </si>
  <si>
    <t>Cu/Al 100x65</t>
  </si>
  <si>
    <t>Cu/Al 150x65</t>
  </si>
  <si>
    <t>L [mm]</t>
  </si>
  <si>
    <t>L [mm]:</t>
  </si>
  <si>
    <t>B [mm]:</t>
  </si>
  <si>
    <t>H [mm]:</t>
  </si>
  <si>
    <t>QVw:</t>
  </si>
  <si>
    <t>M:</t>
  </si>
  <si>
    <t>09.2020</t>
  </si>
  <si>
    <t>FAN 176</t>
  </si>
  <si>
    <t>Cu/Al 45x75</t>
  </si>
  <si>
    <t>CVQ336-1</t>
  </si>
  <si>
    <t>CVQ336-2</t>
  </si>
  <si>
    <t>CVQ336-3</t>
  </si>
  <si>
    <t>5.0</t>
  </si>
  <si>
    <t>Modifié</t>
  </si>
  <si>
    <t>FAN 256</t>
  </si>
  <si>
    <t>FAN 304</t>
  </si>
  <si>
    <t>CVQ240-1</t>
  </si>
  <si>
    <t>CVQ240-2</t>
  </si>
  <si>
    <t>CVQ240-3</t>
  </si>
  <si>
    <t>CVQ304-1</t>
  </si>
  <si>
    <t>CVQ304-2</t>
  </si>
  <si>
    <t>CVQ304-3</t>
  </si>
  <si>
    <t>CVQ368-1</t>
  </si>
  <si>
    <t>CVQ368-2</t>
  </si>
  <si>
    <t>CVQ368-3</t>
  </si>
  <si>
    <t>FAN 240</t>
  </si>
  <si>
    <t>FAN 288</t>
  </si>
  <si>
    <t>j</t>
  </si>
  <si>
    <t>k</t>
  </si>
  <si>
    <t>l</t>
  </si>
  <si>
    <t>QVw/M</t>
  </si>
  <si>
    <t>LIB 176</t>
  </si>
  <si>
    <t>LIB 224</t>
  </si>
  <si>
    <t>LIB 240</t>
  </si>
  <si>
    <t>LIB 272</t>
  </si>
  <si>
    <t>LIB 304</t>
  </si>
  <si>
    <t>LIB 336</t>
  </si>
  <si>
    <t>LIB 368</t>
  </si>
  <si>
    <t>Cu/Al 100x50</t>
  </si>
  <si>
    <t>Cu/Al 150x50</t>
  </si>
  <si>
    <t>Cu/Al 200x50</t>
  </si>
  <si>
    <t>LIB 144</t>
  </si>
  <si>
    <t>Cu/Al 50x100</t>
  </si>
  <si>
    <t>Cu/Al 100x100</t>
  </si>
  <si>
    <t>Cu/Al 150x100</t>
  </si>
  <si>
    <t>Cu/Al 200x100</t>
  </si>
  <si>
    <t>01.2020</t>
  </si>
  <si>
    <t>Facteur réduction par rapport LIB 109</t>
  </si>
  <si>
    <t>%</t>
  </si>
  <si>
    <t>V.08/2018</t>
  </si>
  <si>
    <t>UMRECHNUNGSFAKTOREN   JAGA</t>
  </si>
  <si>
    <t>VERGLEICH   ALLCO/JAGA</t>
  </si>
  <si>
    <r>
      <t>t</t>
    </r>
    <r>
      <rPr>
        <b/>
        <vertAlign val="subscript"/>
        <sz val="8"/>
        <color indexed="47"/>
        <rFont val="Arial"/>
        <family val="2"/>
      </rPr>
      <t xml:space="preserve">RL </t>
    </r>
    <r>
      <rPr>
        <b/>
        <sz val="10"/>
        <color indexed="47"/>
        <rFont val="Arial"/>
        <family val="2"/>
      </rPr>
      <t xml:space="preserve"> °C</t>
    </r>
  </si>
  <si>
    <t>tRL  °C</t>
  </si>
  <si>
    <r>
      <t>t</t>
    </r>
    <r>
      <rPr>
        <b/>
        <vertAlign val="subscript"/>
        <sz val="8"/>
        <color indexed="60"/>
        <rFont val="Arial"/>
        <family val="2"/>
      </rPr>
      <t>VL</t>
    </r>
    <r>
      <rPr>
        <b/>
        <sz val="10"/>
        <color indexed="60"/>
        <rFont val="Arial"/>
        <family val="2"/>
      </rPr>
      <t>°C</t>
    </r>
  </si>
  <si>
    <r>
      <t>t</t>
    </r>
    <r>
      <rPr>
        <sz val="6"/>
        <rFont val="Arial"/>
        <family val="2"/>
      </rPr>
      <t xml:space="preserve">i </t>
    </r>
    <r>
      <rPr>
        <sz val="10"/>
        <rFont val="Arial"/>
        <family val="2"/>
      </rPr>
      <t>°C</t>
    </r>
  </si>
  <si>
    <t>tVL°C</t>
  </si>
  <si>
    <t>ti °C</t>
  </si>
  <si>
    <t>T</t>
  </si>
  <si>
    <t>FC109</t>
  </si>
  <si>
    <t>FAN109</t>
  </si>
  <si>
    <t>CVQK-1</t>
  </si>
  <si>
    <t>CVQK-2</t>
  </si>
  <si>
    <t>CVQK-3</t>
  </si>
  <si>
    <t>COLD-H</t>
  </si>
  <si>
    <t>COLD-2L</t>
  </si>
  <si>
    <t>COLD-4L</t>
  </si>
  <si>
    <t>Faktor ARIA</t>
  </si>
  <si>
    <t>Pos.</t>
  </si>
  <si>
    <t>Faktor LIB</t>
  </si>
  <si>
    <t>He [mm]</t>
  </si>
  <si>
    <t>Code</t>
  </si>
  <si>
    <t>Abzug Berippt</t>
  </si>
  <si>
    <t>Abzug pro Ans</t>
  </si>
  <si>
    <t>HE berippt</t>
  </si>
  <si>
    <t>HE Beluft</t>
  </si>
  <si>
    <t>HE Freie Konv</t>
  </si>
  <si>
    <t>Luft/HE Beluft</t>
  </si>
  <si>
    <t>Grund Q ARIA</t>
  </si>
  <si>
    <t>Q ARIA pro m³</t>
  </si>
  <si>
    <t>Luft Max /m</t>
  </si>
  <si>
    <t>Geschw Ø Anscluss</t>
  </si>
  <si>
    <t>Ø Max</t>
  </si>
  <si>
    <t>Q 0 m³ basis</t>
  </si>
  <si>
    <t>Q 0 m³ berrechnet</t>
  </si>
  <si>
    <t>Q über Luft DT50</t>
  </si>
  <si>
    <t>Q Grund ARIA DT50</t>
  </si>
  <si>
    <t>Q Freie Konvektion DT50</t>
  </si>
  <si>
    <t>Q über Luft Effektiv</t>
  </si>
  <si>
    <t>Q Grund ARIA Effektiv</t>
  </si>
  <si>
    <t>Q Freie Konvektion Effektiv</t>
  </si>
  <si>
    <t>Kode-Breite</t>
  </si>
  <si>
    <t>Bk [mm]</t>
  </si>
  <si>
    <t>B [mm]</t>
  </si>
  <si>
    <t>H [mm]</t>
  </si>
  <si>
    <t>v [mm]</t>
  </si>
  <si>
    <t>HE Typ</t>
  </si>
  <si>
    <t>Q freie Konv.</t>
  </si>
  <si>
    <t>Q pro m³</t>
  </si>
  <si>
    <t>Max Ø</t>
  </si>
  <si>
    <t>Max Luft Loch</t>
  </si>
  <si>
    <t>Q ARIA  0 m³</t>
  </si>
  <si>
    <t>ARIA176109S</t>
  </si>
  <si>
    <t>100x50</t>
  </si>
  <si>
    <t>Q freie Konv. = Leistung freie Konvektion Wanne frei ohne Luftkasten</t>
  </si>
  <si>
    <t>ARIA224109S</t>
  </si>
  <si>
    <t>150x50</t>
  </si>
  <si>
    <t>Q Aria 0m³ = Leistung frei Konvektion mit Luftkasten</t>
  </si>
  <si>
    <t>ARIA240109S</t>
  </si>
  <si>
    <t>ARIA272109S</t>
  </si>
  <si>
    <t>ARIA304109S</t>
  </si>
  <si>
    <t>ARIA336109S</t>
  </si>
  <si>
    <t>200x50</t>
  </si>
  <si>
    <t>ARIA368109S</t>
  </si>
  <si>
    <t>ARIA176109U</t>
  </si>
  <si>
    <t>ARIA224109U</t>
  </si>
  <si>
    <t>ARIA240109U</t>
  </si>
  <si>
    <t>ARIA272109U</t>
  </si>
  <si>
    <t>ARIA304109U</t>
  </si>
  <si>
    <t>ARIA336109U</t>
  </si>
  <si>
    <t>ARIA368109U</t>
  </si>
  <si>
    <t>ARIA176140S</t>
  </si>
  <si>
    <t>ARIA224140S</t>
  </si>
  <si>
    <t>ARIA240140S</t>
  </si>
  <si>
    <t>ARIA272140S</t>
  </si>
  <si>
    <t>ARIA304140S</t>
  </si>
  <si>
    <t>ARIA336140S</t>
  </si>
  <si>
    <t>ARIA368140S</t>
  </si>
  <si>
    <t>ARIA176140U</t>
  </si>
  <si>
    <t>ARIA224140U</t>
  </si>
  <si>
    <t>ARIA240140U</t>
  </si>
  <si>
    <t>ARIA272140U</t>
  </si>
  <si>
    <t>ARIA304140U</t>
  </si>
  <si>
    <t>ARIA336140U</t>
  </si>
  <si>
    <t>ARIA368140U</t>
  </si>
  <si>
    <t>ARIA176190S</t>
  </si>
  <si>
    <t>50x100</t>
  </si>
  <si>
    <t>ARIA224190S</t>
  </si>
  <si>
    <t>100x100</t>
  </si>
  <si>
    <t>ARIA240190S</t>
  </si>
  <si>
    <t>ARIA272190S</t>
  </si>
  <si>
    <t>150x100</t>
  </si>
  <si>
    <t>ARIA304190S</t>
  </si>
  <si>
    <t>ARIA336190S</t>
  </si>
  <si>
    <t>200x100</t>
  </si>
  <si>
    <t>ARIA368190S</t>
  </si>
  <si>
    <t>ARIA176190U</t>
  </si>
  <si>
    <t>ARIA224190U</t>
  </si>
  <si>
    <t>ARIA240190U</t>
  </si>
  <si>
    <t>ARIA272190U</t>
  </si>
  <si>
    <t>ARIA304190U</t>
  </si>
  <si>
    <t>ARIA336190U</t>
  </si>
  <si>
    <t>ARIA368190U</t>
  </si>
  <si>
    <t>ARIA176P+120S</t>
  </si>
  <si>
    <t>ARIA224P+120S</t>
  </si>
  <si>
    <t>ARIA240P+120S</t>
  </si>
  <si>
    <t>ARIA272P+120S</t>
  </si>
  <si>
    <t>ARIA304P+120S</t>
  </si>
  <si>
    <t>ARIA336P+120S</t>
  </si>
  <si>
    <t>ARIA368P+120S</t>
  </si>
  <si>
    <t>ARIA176P+120U</t>
  </si>
  <si>
    <t>ARIA224P+120U</t>
  </si>
  <si>
    <t>ARIA240P+120U</t>
  </si>
  <si>
    <t>ARIA272P+120U</t>
  </si>
  <si>
    <t>ARIA304P+120U</t>
  </si>
  <si>
    <t>ARIA336P+120U</t>
  </si>
  <si>
    <t>ARIA368P+120U</t>
  </si>
  <si>
    <t>ARIA176P+150S</t>
  </si>
  <si>
    <t>ARIA224P+150S</t>
  </si>
  <si>
    <t>ARIA240P+150S</t>
  </si>
  <si>
    <t>ARIA272P+150S</t>
  </si>
  <si>
    <t>ARIA304P+150S</t>
  </si>
  <si>
    <t>ARIA336P+150S</t>
  </si>
  <si>
    <t>ARIA368P+150S</t>
  </si>
  <si>
    <t>ARIA176P+150U</t>
  </si>
  <si>
    <t>ARIA224P+150U</t>
  </si>
  <si>
    <t>ARIA240P+150U</t>
  </si>
  <si>
    <t>ARIA272P+150U</t>
  </si>
  <si>
    <t>ARIA304P+150U</t>
  </si>
  <si>
    <t>ARIA336P+150U</t>
  </si>
  <si>
    <t>ARIA368P+150U</t>
  </si>
  <si>
    <t>ARIA176P+200S</t>
  </si>
  <si>
    <t>ARIA224P+200S</t>
  </si>
  <si>
    <t>ARIA240P+200S</t>
  </si>
  <si>
    <t>ARIA272P+200S</t>
  </si>
  <si>
    <t>ARIA304P+200S</t>
  </si>
  <si>
    <t>ARIA336P+200S</t>
  </si>
  <si>
    <t>ARIA368P+200S</t>
  </si>
  <si>
    <t>ARIA176P+200U</t>
  </si>
  <si>
    <t>ARIA224P+200U</t>
  </si>
  <si>
    <t>ARIA240P+200U</t>
  </si>
  <si>
    <t>ARIA272P+200U</t>
  </si>
  <si>
    <t>ARIA304P+200U</t>
  </si>
  <si>
    <t>ARIA336P+200U</t>
  </si>
  <si>
    <t>ARIA368P+200U</t>
  </si>
  <si>
    <t>Bk</t>
  </si>
  <si>
    <t>HE-L</t>
  </si>
  <si>
    <t>ARIA176</t>
  </si>
  <si>
    <t>ARIA224</t>
  </si>
  <si>
    <t>ARIA240</t>
  </si>
  <si>
    <t>ARIA272</t>
  </si>
  <si>
    <t>ARIA304</t>
  </si>
  <si>
    <t>ARIA336</t>
  </si>
  <si>
    <t>ARIA368</t>
  </si>
  <si>
    <t>ARIA176P</t>
  </si>
  <si>
    <t>ARIA224P</t>
  </si>
  <si>
    <t>ARIA240P</t>
  </si>
  <si>
    <t>ARIA272P</t>
  </si>
  <si>
    <t>ARIA304P</t>
  </si>
  <si>
    <t>ARIA336P</t>
  </si>
  <si>
    <t>ARIA368P</t>
  </si>
  <si>
    <t>Wassermassenstrom [kg/h] *</t>
  </si>
  <si>
    <t>Débit d'eau [kg/h] *</t>
  </si>
  <si>
    <t>v10.2022</t>
  </si>
  <si>
    <t>Vorlauftemperatur [°C]</t>
  </si>
  <si>
    <t>Rücklauftemperatur [°C]</t>
  </si>
  <si>
    <t>Raumtemperatur [°C]</t>
  </si>
  <si>
    <t>Echangeur  L [mm]</t>
  </si>
  <si>
    <t>Konvektor  L [mm]</t>
  </si>
  <si>
    <t>v02.2024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</si>
</sst>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General&quot; W&quot;"/>
    <numFmt numFmtId="165" formatCode="General&quot; kg/h&quot;"/>
    <numFmt numFmtId="166" formatCode="General&quot; mm&quot;"/>
    <numFmt numFmtId="167" formatCode="General&quot; °C&quot;"/>
    <numFmt numFmtId="168" formatCode="&quot;tv= &quot;General&quot; °C&quot;"/>
    <numFmt numFmtId="169" formatCode="&quot;tr= &quot;General&quot; °C&quot;"/>
    <numFmt numFmtId="170" formatCode="&quot;ti= &quot;General&quot; °C&quot;"/>
    <numFmt numFmtId="171" formatCode="&quot;+ &quot;General&quot; °C&quot;"/>
    <numFmt numFmtId="172" formatCode="General\ &quot;W&quot;"/>
    <numFmt numFmtId="173" formatCode="0.000"/>
    <numFmt numFmtId="174" formatCode="0.0"/>
    <numFmt numFmtId="175" formatCode="General&quot; m³&quot;"/>
  </numFmts>
  <fonts count="69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6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1"/>
      <color rgb="FFFF0000"/>
      <name val="Calibri"/>
      <family val="2"/>
      <scheme val="minor"/>
    </font>
    <font>
      <sz val="10"/>
      <name val="GreekC"/>
    </font>
    <font>
      <sz val="6"/>
      <color rgb="FF000000"/>
      <name val="Calibri"/>
      <family val="2"/>
    </font>
    <font>
      <b/>
      <sz val="22"/>
      <color rgb="FFFF0000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2"/>
      <color theme="7" tint="-0.499984740745262"/>
      <name val="Arial"/>
      <family val="2"/>
    </font>
    <font>
      <b/>
      <sz val="10"/>
      <color theme="7" tint="-0.499984740745262"/>
      <name val="Arial"/>
      <family val="2"/>
    </font>
    <font>
      <b/>
      <sz val="8"/>
      <name val="Arial"/>
      <family val="2"/>
    </font>
    <font>
      <sz val="8"/>
      <color theme="5"/>
      <name val="Arial"/>
      <family val="2"/>
    </font>
    <font>
      <sz val="16"/>
      <color theme="7" tint="-0.499984740745262"/>
      <name val="Wingdings 2"/>
      <family val="1"/>
      <charset val="2"/>
    </font>
    <font>
      <b/>
      <sz val="8"/>
      <color theme="7" tint="-0.499984740745262"/>
      <name val="Arial"/>
      <family val="2"/>
    </font>
    <font>
      <sz val="6"/>
      <name val="Arial"/>
      <family val="2"/>
    </font>
    <font>
      <b/>
      <sz val="12"/>
      <name val="Arial"/>
      <family val="2"/>
    </font>
    <font>
      <sz val="24"/>
      <color rgb="FFFF0000"/>
      <name val="Arial"/>
      <family val="2"/>
    </font>
    <font>
      <b/>
      <sz val="12"/>
      <color theme="0"/>
      <name val="Arial"/>
      <family val="2"/>
    </font>
    <font>
      <sz val="10"/>
      <color theme="5" tint="0.39997558519241921"/>
      <name val="Arial"/>
      <family val="2"/>
    </font>
    <font>
      <b/>
      <sz val="10"/>
      <color theme="5" tint="0.39997558519241921"/>
      <name val="Arial"/>
      <family val="2"/>
    </font>
    <font>
      <b/>
      <vertAlign val="subscript"/>
      <sz val="8"/>
      <color indexed="47"/>
      <name val="Arial"/>
      <family val="2"/>
    </font>
    <font>
      <b/>
      <sz val="10"/>
      <color indexed="47"/>
      <name val="Arial"/>
      <family val="2"/>
    </font>
    <font>
      <b/>
      <sz val="10"/>
      <color theme="5" tint="-0.499984740745262"/>
      <name val="Arial"/>
      <family val="2"/>
    </font>
    <font>
      <b/>
      <vertAlign val="subscript"/>
      <sz val="8"/>
      <color indexed="60"/>
      <name val="Arial"/>
      <family val="2"/>
    </font>
    <font>
      <b/>
      <sz val="10"/>
      <color indexed="60"/>
      <name val="Arial"/>
      <family val="2"/>
    </font>
    <font>
      <sz val="8"/>
      <color rgb="FFFF0000"/>
      <name val="Arial"/>
      <family val="2"/>
    </font>
    <font>
      <sz val="18"/>
      <color theme="1"/>
      <name val="Calibri"/>
      <family val="2"/>
      <scheme val="minor"/>
    </font>
    <font>
      <sz val="1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7"/>
      <color theme="1"/>
      <name val="Arial"/>
      <family val="2"/>
    </font>
    <font>
      <sz val="8"/>
      <color theme="1"/>
      <name val="Arial"/>
      <family val="2"/>
    </font>
    <font>
      <sz val="9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2DCDB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7" tint="0.59996337778862885"/>
      </left>
      <right/>
      <top/>
      <bottom/>
      <diagonal/>
    </border>
    <border>
      <left/>
      <right style="thin">
        <color theme="7" tint="0.59996337778862885"/>
      </right>
      <top/>
      <bottom/>
      <diagonal/>
    </border>
    <border>
      <left style="thin">
        <color theme="7" tint="0.59996337778862885"/>
      </left>
      <right style="thin">
        <color theme="7" tint="0.79998168889431442"/>
      </right>
      <top/>
      <bottom/>
      <diagonal/>
    </border>
    <border>
      <left style="thin">
        <color theme="7" tint="0.79998168889431442"/>
      </left>
      <right style="thin">
        <color theme="7" tint="0.79998168889431442"/>
      </right>
      <top/>
      <bottom/>
      <diagonal/>
    </border>
    <border>
      <left style="thin">
        <color theme="7" tint="0.79998168889431442"/>
      </left>
      <right style="thin">
        <color theme="7" tint="0.59996337778862885"/>
      </right>
      <top/>
      <bottom/>
      <diagonal/>
    </border>
    <border>
      <left/>
      <right style="thin">
        <color theme="7" tint="0.79998168889431442"/>
      </right>
      <top/>
      <bottom/>
      <diagonal/>
    </border>
    <border>
      <left style="thin">
        <color theme="7" tint="0.79998168889431442"/>
      </left>
      <right/>
      <top/>
      <bottom/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 style="thin">
        <color theme="7" tint="0.59996337778862885"/>
      </left>
      <right style="thin">
        <color theme="7" tint="0.79998168889431442"/>
      </right>
      <top/>
      <bottom style="thin">
        <color theme="7" tint="0.59996337778862885"/>
      </bottom>
      <diagonal/>
    </border>
    <border>
      <left style="thin">
        <color theme="7" tint="0.79998168889431442"/>
      </left>
      <right style="thin">
        <color theme="7" tint="0.79998168889431442"/>
      </right>
      <top/>
      <bottom style="thin">
        <color theme="7" tint="0.59996337778862885"/>
      </bottom>
      <diagonal/>
    </border>
    <border>
      <left style="thin">
        <color theme="7" tint="0.79998168889431442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 style="thin">
        <color theme="5" tint="0.79998168889431442"/>
      </left>
      <right style="thin">
        <color theme="5" tint="0.79998168889431442"/>
      </right>
      <top/>
      <bottom/>
      <diagonal/>
    </border>
    <border>
      <left style="thin">
        <color theme="5" tint="0.79998168889431442"/>
      </left>
      <right/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79998168889431442"/>
      </left>
      <right style="thin">
        <color theme="5" tint="0.59996337778862885"/>
      </right>
      <top/>
      <bottom/>
      <diagonal/>
    </border>
    <border>
      <left/>
      <right style="thin">
        <color theme="5" tint="0.79998168889431442"/>
      </right>
      <top/>
      <bottom/>
      <diagonal/>
    </border>
    <border>
      <left style="thin">
        <color theme="5" tint="0.59996337778862885"/>
      </left>
      <right style="thin">
        <color theme="5" tint="0.79998168889431442"/>
      </right>
      <top/>
      <bottom/>
      <diagonal/>
    </border>
    <border>
      <left/>
      <right/>
      <top style="thin">
        <color theme="5" tint="0.59996337778862885"/>
      </top>
      <bottom/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/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39994506668294322"/>
      </bottom>
      <diagonal/>
    </border>
    <border>
      <left/>
      <right/>
      <top/>
      <bottom style="thin">
        <color theme="5" tint="0.39994506668294322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1" fillId="0" borderId="0"/>
    <xf numFmtId="0" fontId="20" fillId="0" borderId="0"/>
  </cellStyleXfs>
  <cellXfs count="519">
    <xf numFmtId="0" fontId="0" fillId="0" borderId="0" xfId="0"/>
    <xf numFmtId="9" fontId="0" fillId="2" borderId="0" xfId="0" applyNumberFormat="1" applyFill="1"/>
    <xf numFmtId="9" fontId="0" fillId="3" borderId="0" xfId="0" applyNumberFormat="1" applyFill="1"/>
    <xf numFmtId="9" fontId="0" fillId="4" borderId="0" xfId="0" applyNumberFormat="1" applyFill="1"/>
    <xf numFmtId="9" fontId="0" fillId="5" borderId="0" xfId="0" applyNumberFormat="1" applyFill="1"/>
    <xf numFmtId="0" fontId="2" fillId="0" borderId="0" xfId="0" applyFont="1" applyAlignment="1">
      <alignment wrapText="1"/>
    </xf>
    <xf numFmtId="0" fontId="2" fillId="0" borderId="0" xfId="0" applyFont="1"/>
    <xf numFmtId="0" fontId="3" fillId="0" borderId="0" xfId="0" applyFont="1"/>
    <xf numFmtId="9" fontId="0" fillId="7" borderId="0" xfId="0" applyNumberFormat="1" applyFill="1"/>
    <xf numFmtId="9" fontId="0" fillId="9" borderId="0" xfId="0" applyNumberFormat="1" applyFill="1"/>
    <xf numFmtId="9" fontId="0" fillId="8" borderId="0" xfId="0" applyNumberFormat="1" applyFill="1"/>
    <xf numFmtId="9" fontId="0" fillId="6" borderId="0" xfId="0" applyNumberFormat="1" applyFill="1"/>
    <xf numFmtId="0" fontId="4" fillId="0" borderId="2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5" fillId="0" borderId="0" xfId="0" applyFont="1"/>
    <xf numFmtId="0" fontId="0" fillId="9" borderId="0" xfId="0" applyFill="1"/>
    <xf numFmtId="0" fontId="1" fillId="9" borderId="0" xfId="0" applyFont="1" applyFill="1"/>
    <xf numFmtId="0" fontId="0" fillId="9" borderId="0" xfId="0" applyFill="1" applyAlignment="1">
      <alignment horizontal="right"/>
    </xf>
    <xf numFmtId="0" fontId="1" fillId="9" borderId="0" xfId="0" applyFont="1" applyFill="1" applyAlignment="1">
      <alignment horizontal="right"/>
    </xf>
    <xf numFmtId="0" fontId="0" fillId="2" borderId="0" xfId="0" applyFill="1"/>
    <xf numFmtId="0" fontId="1" fillId="2" borderId="0" xfId="0" applyFont="1" applyFill="1"/>
    <xf numFmtId="0" fontId="0" fillId="2" borderId="0" xfId="0" applyFill="1" applyAlignment="1">
      <alignment horizontal="right"/>
    </xf>
    <xf numFmtId="0" fontId="1" fillId="2" borderId="0" xfId="0" applyFont="1" applyFill="1" applyAlignment="1">
      <alignment horizontal="right"/>
    </xf>
    <xf numFmtId="0" fontId="2" fillId="0" borderId="2" xfId="0" quotePrefix="1" applyFont="1" applyBorder="1" applyAlignment="1">
      <alignment horizontal="center" vertical="center"/>
    </xf>
    <xf numFmtId="16" fontId="2" fillId="0" borderId="2" xfId="0" quotePrefix="1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left"/>
    </xf>
    <xf numFmtId="164" fontId="10" fillId="4" borderId="3" xfId="0" applyNumberFormat="1" applyFont="1" applyFill="1" applyBorder="1"/>
    <xf numFmtId="165" fontId="11" fillId="4" borderId="2" xfId="0" applyNumberFormat="1" applyFont="1" applyFill="1" applyBorder="1"/>
    <xf numFmtId="165" fontId="11" fillId="4" borderId="3" xfId="0" applyNumberFormat="1" applyFont="1" applyFill="1" applyBorder="1"/>
    <xf numFmtId="165" fontId="11" fillId="3" borderId="2" xfId="0" applyNumberFormat="1" applyFont="1" applyFill="1" applyBorder="1"/>
    <xf numFmtId="165" fontId="11" fillId="3" borderId="3" xfId="0" applyNumberFormat="1" applyFont="1" applyFill="1" applyBorder="1" applyAlignment="1">
      <alignment horizontal="right"/>
    </xf>
    <xf numFmtId="165" fontId="11" fillId="2" borderId="2" xfId="0" applyNumberFormat="1" applyFont="1" applyFill="1" applyBorder="1"/>
    <xf numFmtId="165" fontId="11" fillId="2" borderId="3" xfId="0" applyNumberFormat="1" applyFont="1" applyFill="1" applyBorder="1" applyAlignment="1">
      <alignment horizontal="right"/>
    </xf>
    <xf numFmtId="165" fontId="11" fillId="5" borderId="2" xfId="0" applyNumberFormat="1" applyFont="1" applyFill="1" applyBorder="1"/>
    <xf numFmtId="165" fontId="11" fillId="5" borderId="3" xfId="0" applyNumberFormat="1" applyFont="1" applyFill="1" applyBorder="1" applyAlignment="1">
      <alignment horizontal="right"/>
    </xf>
    <xf numFmtId="165" fontId="11" fillId="6" borderId="2" xfId="0" applyNumberFormat="1" applyFont="1" applyFill="1" applyBorder="1"/>
    <xf numFmtId="165" fontId="11" fillId="6" borderId="1" xfId="0" applyNumberFormat="1" applyFont="1" applyFill="1" applyBorder="1"/>
    <xf numFmtId="165" fontId="11" fillId="7" borderId="2" xfId="0" applyNumberFormat="1" applyFont="1" applyFill="1" applyBorder="1"/>
    <xf numFmtId="165" fontId="11" fillId="7" borderId="1" xfId="0" applyNumberFormat="1" applyFont="1" applyFill="1" applyBorder="1"/>
    <xf numFmtId="165" fontId="11" fillId="9" borderId="2" xfId="0" applyNumberFormat="1" applyFont="1" applyFill="1" applyBorder="1"/>
    <xf numFmtId="165" fontId="11" fillId="9" borderId="1" xfId="0" applyNumberFormat="1" applyFont="1" applyFill="1" applyBorder="1"/>
    <xf numFmtId="165" fontId="11" fillId="8" borderId="2" xfId="0" applyNumberFormat="1" applyFont="1" applyFill="1" applyBorder="1"/>
    <xf numFmtId="165" fontId="11" fillId="8" borderId="1" xfId="0" applyNumberFormat="1" applyFont="1" applyFill="1" applyBorder="1"/>
    <xf numFmtId="0" fontId="9" fillId="0" borderId="2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164" fontId="12" fillId="4" borderId="2" xfId="0" applyNumberFormat="1" applyFont="1" applyFill="1" applyBorder="1"/>
    <xf numFmtId="164" fontId="13" fillId="6" borderId="2" xfId="0" applyNumberFormat="1" applyFont="1" applyFill="1" applyBorder="1"/>
    <xf numFmtId="164" fontId="13" fillId="6" borderId="1" xfId="0" applyNumberFormat="1" applyFont="1" applyFill="1" applyBorder="1"/>
    <xf numFmtId="164" fontId="12" fillId="3" borderId="2" xfId="0" applyNumberFormat="1" applyFont="1" applyFill="1" applyBorder="1"/>
    <xf numFmtId="164" fontId="10" fillId="3" borderId="3" xfId="0" applyNumberFormat="1" applyFont="1" applyFill="1" applyBorder="1"/>
    <xf numFmtId="164" fontId="13" fillId="7" borderId="2" xfId="0" applyNumberFormat="1" applyFont="1" applyFill="1" applyBorder="1"/>
    <xf numFmtId="164" fontId="13" fillId="7" borderId="1" xfId="0" applyNumberFormat="1" applyFont="1" applyFill="1" applyBorder="1"/>
    <xf numFmtId="164" fontId="12" fillId="2" borderId="2" xfId="0" applyNumberFormat="1" applyFont="1" applyFill="1" applyBorder="1"/>
    <xf numFmtId="164" fontId="10" fillId="2" borderId="3" xfId="0" applyNumberFormat="1" applyFont="1" applyFill="1" applyBorder="1"/>
    <xf numFmtId="164" fontId="13" fillId="9" borderId="2" xfId="0" applyNumberFormat="1" applyFont="1" applyFill="1" applyBorder="1"/>
    <xf numFmtId="164" fontId="13" fillId="9" borderId="1" xfId="0" applyNumberFormat="1" applyFont="1" applyFill="1" applyBorder="1"/>
    <xf numFmtId="164" fontId="12" fillId="5" borderId="2" xfId="0" applyNumberFormat="1" applyFont="1" applyFill="1" applyBorder="1"/>
    <xf numFmtId="164" fontId="10" fillId="5" borderId="3" xfId="0" applyNumberFormat="1" applyFont="1" applyFill="1" applyBorder="1"/>
    <xf numFmtId="164" fontId="13" fillId="8" borderId="2" xfId="0" applyNumberFormat="1" applyFont="1" applyFill="1" applyBorder="1"/>
    <xf numFmtId="164" fontId="13" fillId="8" borderId="1" xfId="0" applyNumberFormat="1" applyFont="1" applyFill="1" applyBorder="1"/>
    <xf numFmtId="0" fontId="9" fillId="0" borderId="2" xfId="0" applyFont="1" applyBorder="1"/>
    <xf numFmtId="0" fontId="9" fillId="0" borderId="3" xfId="0" applyFont="1" applyBorder="1"/>
    <xf numFmtId="0" fontId="9" fillId="0" borderId="1" xfId="0" applyFont="1" applyBorder="1"/>
    <xf numFmtId="0" fontId="10" fillId="0" borderId="0" xfId="0" applyFont="1" applyAlignment="1">
      <alignment horizontal="center" wrapText="1"/>
    </xf>
    <xf numFmtId="165" fontId="11" fillId="10" borderId="2" xfId="0" applyNumberFormat="1" applyFont="1" applyFill="1" applyBorder="1"/>
    <xf numFmtId="164" fontId="12" fillId="10" borderId="2" xfId="0" applyNumberFormat="1" applyFont="1" applyFill="1" applyBorder="1"/>
    <xf numFmtId="165" fontId="11" fillId="10" borderId="3" xfId="0" applyNumberFormat="1" applyFont="1" applyFill="1" applyBorder="1" applyAlignment="1">
      <alignment horizontal="right"/>
    </xf>
    <xf numFmtId="164" fontId="10" fillId="10" borderId="3" xfId="0" applyNumberFormat="1" applyFont="1" applyFill="1" applyBorder="1"/>
    <xf numFmtId="9" fontId="0" fillId="10" borderId="0" xfId="0" applyNumberFormat="1" applyFill="1"/>
    <xf numFmtId="0" fontId="0" fillId="10" borderId="0" xfId="0" applyFill="1"/>
    <xf numFmtId="0" fontId="9" fillId="0" borderId="0" xfId="0" quotePrefix="1" applyFont="1" applyAlignment="1">
      <alignment horizontal="right"/>
    </xf>
    <xf numFmtId="0" fontId="10" fillId="0" borderId="0" xfId="0" applyFont="1"/>
    <xf numFmtId="0" fontId="13" fillId="0" borderId="0" xfId="0" applyFont="1"/>
    <xf numFmtId="0" fontId="14" fillId="0" borderId="0" xfId="0" applyFont="1"/>
    <xf numFmtId="0" fontId="0" fillId="11" borderId="0" xfId="0" applyFill="1"/>
    <xf numFmtId="9" fontId="0" fillId="11" borderId="0" xfId="0" applyNumberFormat="1" applyFill="1"/>
    <xf numFmtId="165" fontId="11" fillId="11" borderId="2" xfId="0" applyNumberFormat="1" applyFont="1" applyFill="1" applyBorder="1"/>
    <xf numFmtId="164" fontId="13" fillId="11" borderId="2" xfId="0" applyNumberFormat="1" applyFont="1" applyFill="1" applyBorder="1"/>
    <xf numFmtId="165" fontId="11" fillId="11" borderId="1" xfId="0" applyNumberFormat="1" applyFont="1" applyFill="1" applyBorder="1"/>
    <xf numFmtId="164" fontId="13" fillId="11" borderId="1" xfId="0" applyNumberFormat="1" applyFont="1" applyFill="1" applyBorder="1"/>
    <xf numFmtId="0" fontId="0" fillId="0" borderId="0" xfId="0" applyAlignment="1">
      <alignment horizontal="center"/>
    </xf>
    <xf numFmtId="0" fontId="15" fillId="0" borderId="0" xfId="0" applyFont="1"/>
    <xf numFmtId="0" fontId="10" fillId="0" borderId="0" xfId="0" applyFont="1" applyAlignment="1">
      <alignment wrapText="1"/>
    </xf>
    <xf numFmtId="0" fontId="16" fillId="0" borderId="0" xfId="0" applyFont="1"/>
    <xf numFmtId="0" fontId="0" fillId="0" borderId="0" xfId="0" applyAlignment="1">
      <alignment horizontal="right"/>
    </xf>
    <xf numFmtId="0" fontId="0" fillId="0" borderId="3" xfId="0" applyBorder="1"/>
    <xf numFmtId="0" fontId="17" fillId="0" borderId="0" xfId="0" applyFont="1"/>
    <xf numFmtId="0" fontId="1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/>
    </xf>
    <xf numFmtId="164" fontId="13" fillId="0" borderId="0" xfId="0" applyNumberFormat="1" applyFont="1"/>
    <xf numFmtId="0" fontId="10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right" vertical="top"/>
    </xf>
    <xf numFmtId="0" fontId="14" fillId="0" borderId="0" xfId="0" applyFont="1" applyAlignment="1">
      <alignment horizontal="right"/>
    </xf>
    <xf numFmtId="0" fontId="0" fillId="0" borderId="0" xfId="0" quotePrefix="1"/>
    <xf numFmtId="0" fontId="0" fillId="0" borderId="0" xfId="0" applyAlignment="1">
      <alignment horizontal="center" vertical="center"/>
    </xf>
    <xf numFmtId="0" fontId="21" fillId="0" borderId="0" xfId="1"/>
    <xf numFmtId="0" fontId="8" fillId="0" borderId="0" xfId="1" applyFont="1"/>
    <xf numFmtId="166" fontId="21" fillId="0" borderId="0" xfId="1" applyNumberFormat="1"/>
    <xf numFmtId="0" fontId="22" fillId="10" borderId="0" xfId="1" applyFont="1" applyFill="1"/>
    <xf numFmtId="0" fontId="21" fillId="10" borderId="0" xfId="1" applyFill="1"/>
    <xf numFmtId="49" fontId="24" fillId="10" borderId="0" xfId="1" applyNumberFormat="1" applyFont="1" applyFill="1"/>
    <xf numFmtId="0" fontId="25" fillId="10" borderId="0" xfId="1" applyFont="1" applyFill="1" applyAlignment="1">
      <alignment vertical="center" wrapText="1"/>
    </xf>
    <xf numFmtId="0" fontId="26" fillId="0" borderId="0" xfId="1" applyFont="1" applyAlignment="1">
      <alignment vertical="center" wrapText="1"/>
    </xf>
    <xf numFmtId="0" fontId="21" fillId="0" borderId="3" xfId="1" applyBorder="1"/>
    <xf numFmtId="0" fontId="8" fillId="0" borderId="3" xfId="1" applyFont="1" applyBorder="1"/>
    <xf numFmtId="0" fontId="27" fillId="0" borderId="3" xfId="1" applyFont="1" applyBorder="1" applyAlignment="1">
      <alignment horizontal="right"/>
    </xf>
    <xf numFmtId="0" fontId="21" fillId="10" borderId="4" xfId="1" applyFill="1" applyBorder="1"/>
    <xf numFmtId="0" fontId="30" fillId="10" borderId="4" xfId="1" applyFont="1" applyFill="1" applyBorder="1" applyAlignment="1">
      <alignment horizontal="center" vertical="center" textRotation="90" wrapText="1"/>
    </xf>
    <xf numFmtId="0" fontId="30" fillId="10" borderId="5" xfId="1" applyFont="1" applyFill="1" applyBorder="1" applyAlignment="1">
      <alignment horizontal="center" vertical="center" textRotation="90" wrapText="1"/>
    </xf>
    <xf numFmtId="0" fontId="30" fillId="10" borderId="6" xfId="1" applyFont="1" applyFill="1" applyBorder="1" applyAlignment="1">
      <alignment horizontal="center" vertical="center" textRotation="90" wrapText="1"/>
    </xf>
    <xf numFmtId="0" fontId="21" fillId="10" borderId="7" xfId="1" applyFill="1" applyBorder="1"/>
    <xf numFmtId="164" fontId="29" fillId="0" borderId="5" xfId="1" applyNumberFormat="1" applyFont="1" applyBorder="1" applyAlignment="1">
      <alignment horizontal="right"/>
    </xf>
    <xf numFmtId="0" fontId="24" fillId="0" borderId="6" xfId="1" applyFont="1" applyBorder="1" applyAlignment="1">
      <alignment horizontal="right"/>
    </xf>
    <xf numFmtId="0" fontId="21" fillId="10" borderId="5" xfId="1" applyFill="1" applyBorder="1"/>
    <xf numFmtId="0" fontId="24" fillId="0" borderId="0" xfId="1" applyFont="1" applyAlignment="1">
      <alignment horizontal="left"/>
    </xf>
    <xf numFmtId="0" fontId="24" fillId="0" borderId="0" xfId="1" applyFont="1" applyAlignment="1">
      <alignment horizontal="right"/>
    </xf>
    <xf numFmtId="0" fontId="24" fillId="0" borderId="0" xfId="1" quotePrefix="1" applyFont="1" applyAlignment="1">
      <alignment horizontal="right"/>
    </xf>
    <xf numFmtId="0" fontId="8" fillId="0" borderId="0" xfId="2" applyFont="1"/>
    <xf numFmtId="0" fontId="21" fillId="0" borderId="0" xfId="1" quotePrefix="1"/>
    <xf numFmtId="14" fontId="21" fillId="0" borderId="0" xfId="1" applyNumberFormat="1"/>
    <xf numFmtId="0" fontId="8" fillId="0" borderId="0" xfId="1" applyFont="1" applyAlignment="1">
      <alignment horizontal="left"/>
    </xf>
    <xf numFmtId="0" fontId="7" fillId="0" borderId="0" xfId="1" applyFont="1"/>
    <xf numFmtId="168" fontId="8" fillId="0" borderId="0" xfId="1" applyNumberFormat="1" applyFont="1" applyAlignment="1">
      <alignment horizontal="center"/>
    </xf>
    <xf numFmtId="168" fontId="29" fillId="0" borderId="0" xfId="1" applyNumberFormat="1" applyFont="1" applyAlignment="1">
      <alignment horizontal="center"/>
    </xf>
    <xf numFmtId="169" fontId="29" fillId="0" borderId="0" xfId="1" applyNumberFormat="1" applyFont="1" applyAlignment="1">
      <alignment horizontal="center"/>
    </xf>
    <xf numFmtId="170" fontId="29" fillId="0" borderId="0" xfId="1" applyNumberFormat="1" applyFont="1" applyAlignment="1">
      <alignment horizontal="center"/>
    </xf>
    <xf numFmtId="0" fontId="29" fillId="0" borderId="0" xfId="1" applyFont="1"/>
    <xf numFmtId="0" fontId="8" fillId="0" borderId="0" xfId="1" applyFont="1" applyAlignment="1">
      <alignment horizontal="right"/>
    </xf>
    <xf numFmtId="172" fontId="29" fillId="0" borderId="10" xfId="1" applyNumberFormat="1" applyFont="1" applyBorder="1" applyAlignment="1">
      <alignment horizontal="right"/>
    </xf>
    <xf numFmtId="172" fontId="29" fillId="0" borderId="11" xfId="1" applyNumberFormat="1" applyFont="1" applyBorder="1" applyAlignment="1">
      <alignment horizontal="right"/>
    </xf>
    <xf numFmtId="172" fontId="29" fillId="0" borderId="12" xfId="1" applyNumberFormat="1" applyFont="1" applyBorder="1" applyAlignment="1">
      <alignment horizontal="right"/>
    </xf>
    <xf numFmtId="165" fontId="24" fillId="0" borderId="10" xfId="1" applyNumberFormat="1" applyFont="1" applyBorder="1" applyAlignment="1">
      <alignment horizontal="right"/>
    </xf>
    <xf numFmtId="165" fontId="24" fillId="0" borderId="11" xfId="1" applyNumberFormat="1" applyFont="1" applyBorder="1" applyAlignment="1">
      <alignment horizontal="right"/>
    </xf>
    <xf numFmtId="165" fontId="24" fillId="0" borderId="12" xfId="1" applyNumberFormat="1" applyFont="1" applyBorder="1" applyAlignment="1">
      <alignment horizontal="right"/>
    </xf>
    <xf numFmtId="0" fontId="21" fillId="0" borderId="0" xfId="1" applyAlignment="1">
      <alignment horizontal="right"/>
    </xf>
    <xf numFmtId="0" fontId="24" fillId="0" borderId="0" xfId="1" applyFont="1"/>
    <xf numFmtId="0" fontId="42" fillId="0" borderId="0" xfId="1" applyFont="1" applyAlignment="1">
      <alignment horizontal="right"/>
    </xf>
    <xf numFmtId="17" fontId="24" fillId="0" borderId="0" xfId="1" quotePrefix="1" applyNumberFormat="1" applyFont="1" applyAlignment="1">
      <alignment horizontal="right"/>
    </xf>
    <xf numFmtId="172" fontId="29" fillId="0" borderId="13" xfId="1" applyNumberFormat="1" applyFont="1" applyBorder="1" applyAlignment="1">
      <alignment horizontal="right"/>
    </xf>
    <xf numFmtId="172" fontId="29" fillId="0" borderId="14" xfId="1" applyNumberFormat="1" applyFont="1" applyBorder="1" applyAlignment="1">
      <alignment horizontal="right"/>
    </xf>
    <xf numFmtId="165" fontId="24" fillId="0" borderId="13" xfId="1" applyNumberFormat="1" applyFont="1" applyBorder="1" applyAlignment="1">
      <alignment horizontal="right"/>
    </xf>
    <xf numFmtId="165" fontId="24" fillId="0" borderId="14" xfId="1" applyNumberFormat="1" applyFont="1" applyBorder="1" applyAlignment="1">
      <alignment horizontal="right"/>
    </xf>
    <xf numFmtId="166" fontId="21" fillId="0" borderId="0" xfId="1" applyNumberFormat="1" applyAlignment="1">
      <alignment horizontal="right"/>
    </xf>
    <xf numFmtId="168" fontId="35" fillId="0" borderId="0" xfId="1" applyNumberFormat="1" applyFont="1"/>
    <xf numFmtId="168" fontId="36" fillId="0" borderId="0" xfId="1" applyNumberFormat="1" applyFont="1"/>
    <xf numFmtId="171" fontId="37" fillId="0" borderId="0" xfId="1" applyNumberFormat="1" applyFont="1" applyAlignment="1">
      <alignment vertical="center"/>
    </xf>
    <xf numFmtId="0" fontId="38" fillId="0" borderId="8" xfId="1" applyFont="1" applyBorder="1"/>
    <xf numFmtId="0" fontId="38" fillId="0" borderId="0" xfId="1" applyFont="1"/>
    <xf numFmtId="166" fontId="24" fillId="0" borderId="8" xfId="1" applyNumberFormat="1" applyFont="1" applyBorder="1"/>
    <xf numFmtId="166" fontId="24" fillId="0" borderId="0" xfId="1" applyNumberFormat="1" applyFont="1"/>
    <xf numFmtId="9" fontId="30" fillId="0" borderId="8" xfId="1" applyNumberFormat="1" applyFont="1" applyBorder="1"/>
    <xf numFmtId="9" fontId="30" fillId="0" borderId="0" xfId="1" applyNumberFormat="1" applyFont="1"/>
    <xf numFmtId="9" fontId="39" fillId="0" borderId="8" xfId="1" applyNumberFormat="1" applyFont="1" applyBorder="1" applyAlignment="1">
      <alignment horizontal="right"/>
    </xf>
    <xf numFmtId="9" fontId="39" fillId="0" borderId="0" xfId="1" applyNumberFormat="1" applyFont="1" applyAlignment="1">
      <alignment horizontal="right"/>
    </xf>
    <xf numFmtId="166" fontId="24" fillId="0" borderId="0" xfId="1" applyNumberFormat="1" applyFont="1" applyAlignment="1">
      <alignment vertical="center"/>
    </xf>
    <xf numFmtId="172" fontId="29" fillId="0" borderId="0" xfId="1" applyNumberFormat="1" applyFont="1" applyAlignment="1">
      <alignment horizontal="right"/>
    </xf>
    <xf numFmtId="165" fontId="24" fillId="0" borderId="0" xfId="1" applyNumberFormat="1" applyFont="1" applyAlignment="1">
      <alignment horizontal="right"/>
    </xf>
    <xf numFmtId="0" fontId="43" fillId="0" borderId="0" xfId="1" applyFont="1" applyAlignment="1">
      <alignment horizontal="right"/>
    </xf>
    <xf numFmtId="172" fontId="41" fillId="0" borderId="0" xfId="1" applyNumberFormat="1" applyFont="1" applyAlignment="1">
      <alignment horizontal="right"/>
    </xf>
    <xf numFmtId="165" fontId="45" fillId="0" borderId="0" xfId="1" applyNumberFormat="1" applyFont="1" applyAlignment="1">
      <alignment horizontal="right"/>
    </xf>
    <xf numFmtId="165" fontId="24" fillId="0" borderId="18" xfId="1" applyNumberFormat="1" applyFont="1" applyBorder="1" applyAlignment="1">
      <alignment horizontal="right"/>
    </xf>
    <xf numFmtId="165" fontId="24" fillId="0" borderId="19" xfId="1" applyNumberFormat="1" applyFont="1" applyBorder="1" applyAlignment="1">
      <alignment horizontal="right"/>
    </xf>
    <xf numFmtId="165" fontId="24" fillId="0" borderId="20" xfId="1" applyNumberFormat="1" applyFont="1" applyBorder="1" applyAlignment="1">
      <alignment horizontal="right"/>
    </xf>
    <xf numFmtId="0" fontId="8" fillId="0" borderId="0" xfId="1" quotePrefix="1" applyFont="1"/>
    <xf numFmtId="0" fontId="34" fillId="0" borderId="0" xfId="1" applyFont="1" applyAlignment="1">
      <alignment horizontal="center"/>
    </xf>
    <xf numFmtId="168" fontId="35" fillId="14" borderId="0" xfId="1" applyNumberFormat="1" applyFont="1" applyFill="1"/>
    <xf numFmtId="168" fontId="22" fillId="14" borderId="0" xfId="1" applyNumberFormat="1" applyFont="1" applyFill="1"/>
    <xf numFmtId="0" fontId="46" fillId="14" borderId="0" xfId="1" applyFont="1" applyFill="1" applyAlignment="1">
      <alignment horizontal="right"/>
    </xf>
    <xf numFmtId="0" fontId="24" fillId="14" borderId="0" xfId="1" applyFont="1" applyFill="1" applyAlignment="1">
      <alignment horizontal="right"/>
    </xf>
    <xf numFmtId="172" fontId="29" fillId="0" borderId="21" xfId="1" applyNumberFormat="1" applyFont="1" applyBorder="1" applyAlignment="1">
      <alignment horizontal="right"/>
    </xf>
    <xf numFmtId="172" fontId="29" fillId="0" borderId="24" xfId="1" applyNumberFormat="1" applyFont="1" applyBorder="1" applyAlignment="1">
      <alignment horizontal="right"/>
    </xf>
    <xf numFmtId="165" fontId="24" fillId="0" borderId="21" xfId="1" applyNumberFormat="1" applyFont="1" applyBorder="1" applyAlignment="1">
      <alignment horizontal="right"/>
    </xf>
    <xf numFmtId="165" fontId="24" fillId="0" borderId="24" xfId="1" applyNumberFormat="1" applyFont="1" applyBorder="1" applyAlignment="1">
      <alignment horizontal="right"/>
    </xf>
    <xf numFmtId="172" fontId="29" fillId="14" borderId="21" xfId="1" applyNumberFormat="1" applyFont="1" applyFill="1" applyBorder="1" applyAlignment="1">
      <alignment horizontal="right"/>
    </xf>
    <xf numFmtId="172" fontId="29" fillId="14" borderId="24" xfId="1" applyNumberFormat="1" applyFont="1" applyFill="1" applyBorder="1" applyAlignment="1">
      <alignment horizontal="right"/>
    </xf>
    <xf numFmtId="165" fontId="24" fillId="14" borderId="21" xfId="1" applyNumberFormat="1" applyFont="1" applyFill="1" applyBorder="1" applyAlignment="1">
      <alignment horizontal="right"/>
    </xf>
    <xf numFmtId="165" fontId="24" fillId="14" borderId="24" xfId="1" applyNumberFormat="1" applyFont="1" applyFill="1" applyBorder="1" applyAlignment="1">
      <alignment horizontal="right"/>
    </xf>
    <xf numFmtId="0" fontId="41" fillId="0" borderId="0" xfId="1" applyFont="1" applyAlignment="1">
      <alignment horizontal="left"/>
    </xf>
    <xf numFmtId="168" fontId="35" fillId="14" borderId="0" xfId="1" applyNumberFormat="1" applyFont="1" applyFill="1" applyAlignment="1">
      <alignment horizontal="left"/>
    </xf>
    <xf numFmtId="168" fontId="35" fillId="14" borderId="0" xfId="1" applyNumberFormat="1" applyFont="1" applyFill="1" applyAlignment="1">
      <alignment horizontal="center"/>
    </xf>
    <xf numFmtId="168" fontId="22" fillId="14" borderId="0" xfId="1" applyNumberFormat="1" applyFont="1" applyFill="1" applyAlignment="1">
      <alignment horizontal="left"/>
    </xf>
    <xf numFmtId="166" fontId="24" fillId="14" borderId="0" xfId="1" applyNumberFormat="1" applyFont="1" applyFill="1" applyAlignment="1">
      <alignment horizontal="center"/>
    </xf>
    <xf numFmtId="172" fontId="29" fillId="0" borderId="26" xfId="1" applyNumberFormat="1" applyFont="1" applyBorder="1" applyAlignment="1">
      <alignment horizontal="right"/>
    </xf>
    <xf numFmtId="165" fontId="24" fillId="0" borderId="26" xfId="1" applyNumberFormat="1" applyFont="1" applyBorder="1" applyAlignment="1">
      <alignment horizontal="right"/>
    </xf>
    <xf numFmtId="172" fontId="29" fillId="14" borderId="26" xfId="1" applyNumberFormat="1" applyFont="1" applyFill="1" applyBorder="1" applyAlignment="1">
      <alignment horizontal="right"/>
    </xf>
    <xf numFmtId="165" fontId="24" fillId="14" borderId="26" xfId="1" applyNumberFormat="1" applyFont="1" applyFill="1" applyBorder="1" applyAlignment="1">
      <alignment horizontal="right"/>
    </xf>
    <xf numFmtId="0" fontId="47" fillId="0" borderId="0" xfId="1" applyFont="1" applyAlignment="1">
      <alignment horizontal="center" vertical="center"/>
    </xf>
    <xf numFmtId="0" fontId="21" fillId="0" borderId="0" xfId="1" applyAlignment="1">
      <alignment horizontal="center"/>
    </xf>
    <xf numFmtId="0" fontId="48" fillId="15" borderId="0" xfId="1" applyFont="1" applyFill="1"/>
    <xf numFmtId="0" fontId="21" fillId="15" borderId="0" xfId="1" applyFill="1" applyAlignment="1">
      <alignment horizontal="center"/>
    </xf>
    <xf numFmtId="0" fontId="21" fillId="15" borderId="0" xfId="1" applyFill="1"/>
    <xf numFmtId="0" fontId="24" fillId="15" borderId="0" xfId="1" applyFont="1" applyFill="1" applyAlignment="1">
      <alignment horizontal="right"/>
    </xf>
    <xf numFmtId="0" fontId="8" fillId="0" borderId="0" xfId="1" applyFont="1" applyAlignment="1">
      <alignment horizontal="center"/>
    </xf>
    <xf numFmtId="0" fontId="49" fillId="0" borderId="27" xfId="1" applyFont="1" applyBorder="1"/>
    <xf numFmtId="0" fontId="50" fillId="0" borderId="27" xfId="1" applyFont="1" applyBorder="1"/>
    <xf numFmtId="0" fontId="53" fillId="0" borderId="0" xfId="1" applyFont="1" applyAlignment="1">
      <alignment horizontal="center"/>
    </xf>
    <xf numFmtId="0" fontId="50" fillId="0" borderId="28" xfId="1" applyFont="1" applyBorder="1"/>
    <xf numFmtId="0" fontId="53" fillId="0" borderId="29" xfId="1" applyFont="1" applyBorder="1" applyAlignment="1">
      <alignment horizontal="center" vertical="center"/>
    </xf>
    <xf numFmtId="0" fontId="8" fillId="0" borderId="23" xfId="1" applyFont="1" applyBorder="1" applyAlignment="1">
      <alignment horizontal="center"/>
    </xf>
    <xf numFmtId="173" fontId="8" fillId="0" borderId="0" xfId="1" applyNumberFormat="1" applyFont="1"/>
    <xf numFmtId="174" fontId="8" fillId="0" borderId="0" xfId="1" applyNumberFormat="1" applyFont="1"/>
    <xf numFmtId="0" fontId="8" fillId="15" borderId="23" xfId="1" applyFont="1" applyFill="1" applyBorder="1" applyAlignment="1">
      <alignment horizontal="center"/>
    </xf>
    <xf numFmtId="173" fontId="8" fillId="15" borderId="0" xfId="1" applyNumberFormat="1" applyFont="1" applyFill="1"/>
    <xf numFmtId="0" fontId="8" fillId="16" borderId="0" xfId="1" applyFont="1" applyFill="1"/>
    <xf numFmtId="173" fontId="8" fillId="16" borderId="0" xfId="1" applyNumberFormat="1" applyFont="1" applyFill="1"/>
    <xf numFmtId="174" fontId="8" fillId="16" borderId="0" xfId="1" applyNumberFormat="1" applyFont="1" applyFill="1"/>
    <xf numFmtId="0" fontId="53" fillId="0" borderId="30" xfId="1" applyFont="1" applyBorder="1" applyAlignment="1">
      <alignment horizontal="center" vertical="center"/>
    </xf>
    <xf numFmtId="0" fontId="8" fillId="0" borderId="31" xfId="1" applyFont="1" applyBorder="1" applyAlignment="1">
      <alignment horizontal="center"/>
    </xf>
    <xf numFmtId="173" fontId="8" fillId="0" borderId="32" xfId="1" applyNumberFormat="1" applyFont="1" applyBorder="1"/>
    <xf numFmtId="0" fontId="27" fillId="0" borderId="0" xfId="1" applyFont="1"/>
    <xf numFmtId="173" fontId="8" fillId="0" borderId="3" xfId="1" applyNumberFormat="1" applyFont="1" applyBorder="1"/>
    <xf numFmtId="173" fontId="27" fillId="0" borderId="3" xfId="1" applyNumberFormat="1" applyFont="1" applyBorder="1"/>
    <xf numFmtId="174" fontId="8" fillId="0" borderId="3" xfId="1" applyNumberFormat="1" applyFont="1" applyBorder="1"/>
    <xf numFmtId="173" fontId="27" fillId="0" borderId="0" xfId="1" applyNumberFormat="1" applyFont="1"/>
    <xf numFmtId="173" fontId="27" fillId="16" borderId="0" xfId="1" applyNumberFormat="1" applyFont="1" applyFill="1"/>
    <xf numFmtId="0" fontId="8" fillId="0" borderId="2" xfId="1" applyFont="1" applyBorder="1"/>
    <xf numFmtId="173" fontId="8" fillId="0" borderId="2" xfId="1" applyNumberFormat="1" applyFont="1" applyBorder="1"/>
    <xf numFmtId="173" fontId="27" fillId="0" borderId="2" xfId="1" applyNumberFormat="1" applyFont="1" applyBorder="1"/>
    <xf numFmtId="174" fontId="8" fillId="0" borderId="2" xfId="1" applyNumberFormat="1" applyFont="1" applyBorder="1"/>
    <xf numFmtId="0" fontId="8" fillId="0" borderId="33" xfId="1" applyFont="1" applyBorder="1" applyAlignment="1">
      <alignment horizontal="center"/>
    </xf>
    <xf numFmtId="173" fontId="8" fillId="0" borderId="28" xfId="1" applyNumberFormat="1" applyFont="1" applyBorder="1"/>
    <xf numFmtId="175" fontId="21" fillId="0" borderId="0" xfId="1" applyNumberFormat="1"/>
    <xf numFmtId="166" fontId="24" fillId="17" borderId="0" xfId="1" applyNumberFormat="1" applyFont="1" applyFill="1"/>
    <xf numFmtId="166" fontId="56" fillId="17" borderId="0" xfId="1" applyNumberFormat="1" applyFont="1" applyFill="1"/>
    <xf numFmtId="164" fontId="29" fillId="0" borderId="0" xfId="1" applyNumberFormat="1" applyFont="1" applyAlignment="1">
      <alignment horizontal="right"/>
    </xf>
    <xf numFmtId="172" fontId="27" fillId="0" borderId="0" xfId="1" applyNumberFormat="1" applyFont="1"/>
    <xf numFmtId="172" fontId="21" fillId="0" borderId="0" xfId="1" applyNumberFormat="1"/>
    <xf numFmtId="0" fontId="29" fillId="0" borderId="0" xfId="1" applyFont="1" applyAlignment="1">
      <alignment horizontal="right"/>
    </xf>
    <xf numFmtId="0" fontId="24" fillId="18" borderId="0" xfId="1" applyFont="1" applyFill="1" applyAlignment="1">
      <alignment vertical="center" wrapText="1"/>
    </xf>
    <xf numFmtId="0" fontId="24" fillId="18" borderId="0" xfId="1" applyFont="1" applyFill="1" applyAlignment="1">
      <alignment horizontal="right" vertical="center"/>
    </xf>
    <xf numFmtId="0" fontId="24" fillId="18" borderId="8" xfId="1" applyFont="1" applyFill="1" applyBorder="1" applyAlignment="1">
      <alignment horizontal="right"/>
    </xf>
    <xf numFmtId="0" fontId="24" fillId="18" borderId="0" xfId="1" applyFont="1" applyFill="1" applyAlignment="1">
      <alignment horizontal="right"/>
    </xf>
    <xf numFmtId="0" fontId="24" fillId="18" borderId="9" xfId="1" applyFont="1" applyFill="1" applyBorder="1" applyAlignment="1">
      <alignment horizontal="right"/>
    </xf>
    <xf numFmtId="9" fontId="39" fillId="18" borderId="8" xfId="1" applyNumberFormat="1" applyFont="1" applyFill="1" applyBorder="1" applyAlignment="1">
      <alignment horizontal="right"/>
    </xf>
    <xf numFmtId="9" fontId="39" fillId="18" borderId="0" xfId="1" applyNumberFormat="1" applyFont="1" applyFill="1" applyAlignment="1">
      <alignment horizontal="right"/>
    </xf>
    <xf numFmtId="9" fontId="39" fillId="18" borderId="9" xfId="1" applyNumberFormat="1" applyFont="1" applyFill="1" applyBorder="1" applyAlignment="1">
      <alignment horizontal="right"/>
    </xf>
    <xf numFmtId="166" fontId="40" fillId="18" borderId="9" xfId="1" applyNumberFormat="1" applyFont="1" applyFill="1" applyBorder="1" applyAlignment="1">
      <alignment horizontal="center" wrapText="1"/>
    </xf>
    <xf numFmtId="172" fontId="29" fillId="18" borderId="10" xfId="1" applyNumberFormat="1" applyFont="1" applyFill="1" applyBorder="1" applyAlignment="1">
      <alignment horizontal="right"/>
    </xf>
    <xf numFmtId="172" fontId="29" fillId="18" borderId="11" xfId="1" applyNumberFormat="1" applyFont="1" applyFill="1" applyBorder="1" applyAlignment="1">
      <alignment horizontal="right"/>
    </xf>
    <xf numFmtId="172" fontId="29" fillId="18" borderId="12" xfId="1" applyNumberFormat="1" applyFont="1" applyFill="1" applyBorder="1" applyAlignment="1">
      <alignment horizontal="right"/>
    </xf>
    <xf numFmtId="165" fontId="24" fillId="18" borderId="10" xfId="1" applyNumberFormat="1" applyFont="1" applyFill="1" applyBorder="1" applyAlignment="1">
      <alignment horizontal="right"/>
    </xf>
    <xf numFmtId="165" fontId="24" fillId="18" borderId="11" xfId="1" applyNumberFormat="1" applyFont="1" applyFill="1" applyBorder="1" applyAlignment="1">
      <alignment horizontal="right"/>
    </xf>
    <xf numFmtId="165" fontId="24" fillId="18" borderId="12" xfId="1" applyNumberFormat="1" applyFont="1" applyFill="1" applyBorder="1" applyAlignment="1">
      <alignment horizontal="right"/>
    </xf>
    <xf numFmtId="0" fontId="41" fillId="18" borderId="0" xfId="1" applyFont="1" applyFill="1" applyAlignment="1">
      <alignment horizontal="left"/>
    </xf>
    <xf numFmtId="0" fontId="21" fillId="18" borderId="0" xfId="1" applyFill="1" applyAlignment="1">
      <alignment horizontal="right"/>
    </xf>
    <xf numFmtId="0" fontId="24" fillId="18" borderId="0" xfId="1" applyFont="1" applyFill="1" applyAlignment="1">
      <alignment horizontal="left"/>
    </xf>
    <xf numFmtId="172" fontId="29" fillId="18" borderId="13" xfId="1" applyNumberFormat="1" applyFont="1" applyFill="1" applyBorder="1" applyAlignment="1">
      <alignment horizontal="right"/>
    </xf>
    <xf numFmtId="172" fontId="29" fillId="18" borderId="14" xfId="1" applyNumberFormat="1" applyFont="1" applyFill="1" applyBorder="1" applyAlignment="1">
      <alignment horizontal="right"/>
    </xf>
    <xf numFmtId="165" fontId="24" fillId="18" borderId="13" xfId="1" applyNumberFormat="1" applyFont="1" applyFill="1" applyBorder="1" applyAlignment="1">
      <alignment horizontal="right"/>
    </xf>
    <xf numFmtId="165" fontId="24" fillId="18" borderId="14" xfId="1" applyNumberFormat="1" applyFont="1" applyFill="1" applyBorder="1" applyAlignment="1">
      <alignment horizontal="right"/>
    </xf>
    <xf numFmtId="0" fontId="43" fillId="18" borderId="8" xfId="1" applyFont="1" applyFill="1" applyBorder="1" applyAlignment="1">
      <alignment horizontal="right"/>
    </xf>
    <xf numFmtId="0" fontId="43" fillId="18" borderId="0" xfId="1" applyFont="1" applyFill="1" applyAlignment="1">
      <alignment horizontal="right"/>
    </xf>
    <xf numFmtId="0" fontId="43" fillId="18" borderId="9" xfId="1" applyFont="1" applyFill="1" applyBorder="1" applyAlignment="1">
      <alignment horizontal="right"/>
    </xf>
    <xf numFmtId="166" fontId="44" fillId="18" borderId="9" xfId="1" applyNumberFormat="1" applyFont="1" applyFill="1" applyBorder="1" applyAlignment="1">
      <alignment horizontal="center" wrapText="1"/>
    </xf>
    <xf numFmtId="168" fontId="35" fillId="19" borderId="0" xfId="1" applyNumberFormat="1" applyFont="1" applyFill="1"/>
    <xf numFmtId="168" fontId="35" fillId="19" borderId="0" xfId="1" applyNumberFormat="1" applyFont="1" applyFill="1" applyAlignment="1">
      <alignment horizontal="right"/>
    </xf>
    <xf numFmtId="168" fontId="22" fillId="19" borderId="0" xfId="1" applyNumberFormat="1" applyFont="1" applyFill="1"/>
    <xf numFmtId="168" fontId="22" fillId="19" borderId="0" xfId="1" applyNumberFormat="1" applyFont="1" applyFill="1" applyAlignment="1">
      <alignment horizontal="right"/>
    </xf>
    <xf numFmtId="0" fontId="46" fillId="19" borderId="0" xfId="1" applyFont="1" applyFill="1" applyAlignment="1">
      <alignment horizontal="right"/>
    </xf>
    <xf numFmtId="166" fontId="24" fillId="19" borderId="0" xfId="1" applyNumberFormat="1" applyFont="1" applyFill="1" applyAlignment="1">
      <alignment horizontal="right"/>
    </xf>
    <xf numFmtId="0" fontId="24" fillId="19" borderId="0" xfId="1" applyFont="1" applyFill="1" applyAlignment="1">
      <alignment horizontal="right"/>
    </xf>
    <xf numFmtId="172" fontId="29" fillId="19" borderId="21" xfId="1" applyNumberFormat="1" applyFont="1" applyFill="1" applyBorder="1" applyAlignment="1">
      <alignment horizontal="right"/>
    </xf>
    <xf numFmtId="172" fontId="29" fillId="19" borderId="24" xfId="1" applyNumberFormat="1" applyFont="1" applyFill="1" applyBorder="1" applyAlignment="1">
      <alignment horizontal="right"/>
    </xf>
    <xf numFmtId="165" fontId="24" fillId="19" borderId="21" xfId="1" applyNumberFormat="1" applyFont="1" applyFill="1" applyBorder="1" applyAlignment="1">
      <alignment horizontal="right"/>
    </xf>
    <xf numFmtId="165" fontId="24" fillId="19" borderId="24" xfId="1" applyNumberFormat="1" applyFont="1" applyFill="1" applyBorder="1" applyAlignment="1">
      <alignment horizontal="right"/>
    </xf>
    <xf numFmtId="168" fontId="35" fillId="19" borderId="0" xfId="1" applyNumberFormat="1" applyFont="1" applyFill="1" applyAlignment="1">
      <alignment horizontal="left"/>
    </xf>
    <xf numFmtId="168" fontId="35" fillId="19" borderId="0" xfId="1" applyNumberFormat="1" applyFont="1" applyFill="1" applyAlignment="1">
      <alignment horizontal="center"/>
    </xf>
    <xf numFmtId="168" fontId="22" fillId="19" borderId="0" xfId="1" applyNumberFormat="1" applyFont="1" applyFill="1" applyAlignment="1">
      <alignment horizontal="left"/>
    </xf>
    <xf numFmtId="166" fontId="24" fillId="19" borderId="0" xfId="1" applyNumberFormat="1" applyFont="1" applyFill="1" applyAlignment="1">
      <alignment horizontal="center"/>
    </xf>
    <xf numFmtId="172" fontId="29" fillId="19" borderId="26" xfId="1" applyNumberFormat="1" applyFont="1" applyFill="1" applyBorder="1" applyAlignment="1">
      <alignment horizontal="right"/>
    </xf>
    <xf numFmtId="165" fontId="24" fillId="19" borderId="26" xfId="1" applyNumberFormat="1" applyFont="1" applyFill="1" applyBorder="1" applyAlignment="1">
      <alignment horizontal="right"/>
    </xf>
    <xf numFmtId="166" fontId="24" fillId="20" borderId="0" xfId="1" applyNumberFormat="1" applyFont="1" applyFill="1" applyAlignment="1">
      <alignment horizontal="center" wrapText="1"/>
    </xf>
    <xf numFmtId="166" fontId="24" fillId="20" borderId="0" xfId="1" applyNumberFormat="1" applyFont="1" applyFill="1" applyAlignment="1">
      <alignment horizontal="right" wrapText="1"/>
    </xf>
    <xf numFmtId="166" fontId="21" fillId="20" borderId="0" xfId="1" applyNumberFormat="1" applyFill="1" applyAlignment="1">
      <alignment horizontal="right"/>
    </xf>
    <xf numFmtId="0" fontId="21" fillId="20" borderId="0" xfId="1" applyFill="1" applyAlignment="1">
      <alignment horizontal="right"/>
    </xf>
    <xf numFmtId="164" fontId="29" fillId="20" borderId="0" xfId="1" applyNumberFormat="1" applyFont="1" applyFill="1" applyAlignment="1">
      <alignment horizontal="right"/>
    </xf>
    <xf numFmtId="0" fontId="37" fillId="20" borderId="0" xfId="1" applyFont="1" applyFill="1" applyAlignment="1">
      <alignment vertical="center"/>
    </xf>
    <xf numFmtId="0" fontId="0" fillId="0" borderId="4" xfId="0" applyBorder="1" applyAlignment="1">
      <alignment horizontal="center"/>
    </xf>
    <xf numFmtId="0" fontId="31" fillId="0" borderId="0" xfId="0" applyFont="1"/>
    <xf numFmtId="0" fontId="0" fillId="0" borderId="4" xfId="0" applyBorder="1"/>
    <xf numFmtId="0" fontId="0" fillId="0" borderId="4" xfId="0" applyBorder="1" applyAlignment="1">
      <alignment horizontal="center" vertical="center"/>
    </xf>
    <xf numFmtId="0" fontId="26" fillId="0" borderId="0" xfId="1" applyFont="1" applyAlignment="1">
      <alignment horizontal="left"/>
    </xf>
    <xf numFmtId="0" fontId="58" fillId="0" borderId="0" xfId="1" applyFont="1" applyAlignment="1" applyProtection="1">
      <alignment vertical="center"/>
      <protection locked="0"/>
    </xf>
    <xf numFmtId="0" fontId="8" fillId="0" borderId="0" xfId="1" applyFont="1" applyAlignment="1" applyProtection="1">
      <alignment horizontal="center"/>
      <protection locked="0"/>
    </xf>
    <xf numFmtId="175" fontId="21" fillId="0" borderId="0" xfId="1" applyNumberFormat="1" applyAlignment="1" applyProtection="1">
      <alignment horizontal="right"/>
      <protection locked="0"/>
    </xf>
    <xf numFmtId="0" fontId="21" fillId="0" borderId="0" xfId="1" applyAlignment="1" applyProtection="1">
      <alignment horizontal="center"/>
      <protection locked="0"/>
    </xf>
    <xf numFmtId="166" fontId="21" fillId="0" borderId="0" xfId="1" applyNumberFormat="1" applyAlignment="1" applyProtection="1">
      <alignment horizontal="center"/>
      <protection locked="0"/>
    </xf>
    <xf numFmtId="166" fontId="29" fillId="0" borderId="0" xfId="1" applyNumberFormat="1" applyFont="1" applyAlignment="1" applyProtection="1">
      <alignment horizontal="center"/>
      <protection locked="0"/>
    </xf>
    <xf numFmtId="166" fontId="21" fillId="0" borderId="0" xfId="1" applyNumberFormat="1" applyAlignment="1" applyProtection="1">
      <alignment horizontal="right"/>
      <protection locked="0"/>
    </xf>
    <xf numFmtId="0" fontId="8" fillId="20" borderId="0" xfId="1" applyFont="1" applyFill="1" applyAlignment="1" applyProtection="1">
      <alignment horizontal="center"/>
      <protection locked="0"/>
    </xf>
    <xf numFmtId="175" fontId="21" fillId="20" borderId="0" xfId="1" applyNumberFormat="1" applyFill="1" applyAlignment="1" applyProtection="1">
      <alignment horizontal="right"/>
      <protection locked="0"/>
    </xf>
    <xf numFmtId="0" fontId="21" fillId="20" borderId="0" xfId="1" applyFill="1" applyAlignment="1" applyProtection="1">
      <alignment horizontal="center"/>
      <protection locked="0"/>
    </xf>
    <xf numFmtId="166" fontId="21" fillId="20" borderId="0" xfId="1" applyNumberFormat="1" applyFill="1" applyAlignment="1" applyProtection="1">
      <alignment horizontal="center"/>
      <protection locked="0"/>
    </xf>
    <xf numFmtId="166" fontId="29" fillId="20" borderId="0" xfId="1" applyNumberFormat="1" applyFont="1" applyFill="1" applyAlignment="1" applyProtection="1">
      <alignment horizontal="center"/>
      <protection locked="0"/>
    </xf>
    <xf numFmtId="166" fontId="21" fillId="20" borderId="0" xfId="1" applyNumberFormat="1" applyFill="1" applyAlignment="1" applyProtection="1">
      <alignment horizontal="right"/>
      <protection locked="0"/>
    </xf>
    <xf numFmtId="0" fontId="57" fillId="0" borderId="0" xfId="0" applyFont="1" applyAlignment="1" applyProtection="1">
      <alignment horizontal="center"/>
      <protection locked="0"/>
    </xf>
    <xf numFmtId="0" fontId="59" fillId="0" borderId="0" xfId="0" applyFont="1"/>
    <xf numFmtId="10" fontId="59" fillId="0" borderId="0" xfId="0" applyNumberFormat="1" applyFont="1"/>
    <xf numFmtId="0" fontId="59" fillId="12" borderId="0" xfId="0" applyFont="1" applyFill="1"/>
    <xf numFmtId="0" fontId="61" fillId="12" borderId="0" xfId="0" applyFont="1" applyFill="1"/>
    <xf numFmtId="0" fontId="60" fillId="12" borderId="0" xfId="0" applyFont="1" applyFill="1" applyAlignment="1">
      <alignment horizontal="center"/>
    </xf>
    <xf numFmtId="0" fontId="59" fillId="10" borderId="0" xfId="0" applyFont="1" applyFill="1"/>
    <xf numFmtId="0" fontId="62" fillId="10" borderId="0" xfId="0" quotePrefix="1" applyFont="1" applyFill="1"/>
    <xf numFmtId="0" fontId="61" fillId="0" borderId="0" xfId="0" applyFont="1" applyAlignment="1">
      <alignment horizontal="right" vertical="center"/>
    </xf>
    <xf numFmtId="0" fontId="62" fillId="10" borderId="0" xfId="0" applyFont="1" applyFill="1" applyAlignment="1">
      <alignment wrapText="1"/>
    </xf>
    <xf numFmtId="0" fontId="64" fillId="10" borderId="0" xfId="0" applyFont="1" applyFill="1" applyAlignment="1">
      <alignment horizontal="center" wrapText="1"/>
    </xf>
    <xf numFmtId="9" fontId="64" fillId="10" borderId="0" xfId="0" applyNumberFormat="1" applyFont="1" applyFill="1" applyAlignment="1">
      <alignment vertical="center"/>
    </xf>
    <xf numFmtId="0" fontId="62" fillId="10" borderId="0" xfId="0" applyFont="1" applyFill="1" applyAlignment="1">
      <alignment horizontal="right" wrapText="1"/>
    </xf>
    <xf numFmtId="0" fontId="67" fillId="0" borderId="2" xfId="0" applyFont="1" applyBorder="1"/>
    <xf numFmtId="164" fontId="65" fillId="0" borderId="2" xfId="0" applyNumberFormat="1" applyFont="1" applyBorder="1"/>
    <xf numFmtId="0" fontId="67" fillId="0" borderId="3" xfId="0" applyFont="1" applyBorder="1"/>
    <xf numFmtId="164" fontId="62" fillId="0" borderId="3" xfId="0" applyNumberFormat="1" applyFont="1" applyBorder="1"/>
    <xf numFmtId="0" fontId="67" fillId="0" borderId="0" xfId="0" applyFont="1"/>
    <xf numFmtId="164" fontId="65" fillId="0" borderId="0" xfId="0" applyNumberFormat="1" applyFont="1"/>
    <xf numFmtId="164" fontId="62" fillId="0" borderId="0" xfId="0" applyNumberFormat="1" applyFont="1"/>
    <xf numFmtId="166" fontId="62" fillId="0" borderId="0" xfId="0" applyNumberFormat="1" applyFont="1" applyAlignment="1">
      <alignment horizontal="left" vertical="center"/>
    </xf>
    <xf numFmtId="166" fontId="66" fillId="0" borderId="0" xfId="0" applyNumberFormat="1" applyFont="1" applyAlignment="1">
      <alignment horizontal="left" vertical="center"/>
    </xf>
    <xf numFmtId="165" fontId="66" fillId="0" borderId="0" xfId="0" applyNumberFormat="1" applyFont="1"/>
    <xf numFmtId="0" fontId="62" fillId="0" borderId="0" xfId="0" applyFont="1" applyAlignment="1">
      <alignment horizontal="right"/>
    </xf>
    <xf numFmtId="0" fontId="62" fillId="0" borderId="0" xfId="0" applyFont="1"/>
    <xf numFmtId="0" fontId="66" fillId="0" borderId="0" xfId="0" applyFont="1"/>
    <xf numFmtId="0" fontId="68" fillId="10" borderId="0" xfId="0" applyFont="1" applyFill="1" applyAlignment="1">
      <alignment horizontal="right"/>
    </xf>
    <xf numFmtId="166" fontId="65" fillId="10" borderId="1" xfId="0" applyNumberFormat="1" applyFont="1" applyFill="1" applyBorder="1" applyAlignment="1">
      <alignment horizontal="left"/>
    </xf>
    <xf numFmtId="166" fontId="66" fillId="0" borderId="1" xfId="0" applyNumberFormat="1" applyFont="1" applyBorder="1" applyAlignment="1">
      <alignment horizontal="left"/>
    </xf>
    <xf numFmtId="0" fontId="67" fillId="0" borderId="1" xfId="0" applyFont="1" applyBorder="1"/>
    <xf numFmtId="164" fontId="65" fillId="0" borderId="1" xfId="0" applyNumberFormat="1" applyFont="1" applyBorder="1"/>
    <xf numFmtId="0" fontId="62" fillId="0" borderId="1" xfId="0" quotePrefix="1" applyFont="1" applyBorder="1" applyAlignment="1">
      <alignment horizontal="right"/>
    </xf>
    <xf numFmtId="0" fontId="62" fillId="0" borderId="0" xfId="0" applyFont="1" applyAlignment="1">
      <alignment horizontal="left"/>
    </xf>
    <xf numFmtId="0" fontId="65" fillId="0" borderId="0" xfId="0" applyFont="1" applyAlignment="1">
      <alignment horizontal="right"/>
    </xf>
    <xf numFmtId="0" fontId="59" fillId="0" borderId="0" xfId="2" applyFont="1"/>
    <xf numFmtId="10" fontId="59" fillId="0" borderId="0" xfId="2" applyNumberFormat="1" applyFont="1"/>
    <xf numFmtId="0" fontId="59" fillId="12" borderId="0" xfId="2" applyFont="1" applyFill="1"/>
    <xf numFmtId="0" fontId="59" fillId="10" borderId="0" xfId="2" applyFont="1" applyFill="1"/>
    <xf numFmtId="0" fontId="60" fillId="12" borderId="0" xfId="2" applyFont="1" applyFill="1"/>
    <xf numFmtId="0" fontId="59" fillId="12" borderId="0" xfId="2" applyFont="1" applyFill="1" applyAlignment="1">
      <alignment horizontal="right"/>
    </xf>
    <xf numFmtId="0" fontId="62" fillId="10" borderId="0" xfId="2" quotePrefix="1" applyFont="1" applyFill="1"/>
    <xf numFmtId="0" fontId="60" fillId="12" borderId="0" xfId="2" applyFont="1" applyFill="1" applyAlignment="1">
      <alignment horizontal="center"/>
    </xf>
    <xf numFmtId="0" fontId="63" fillId="10" borderId="0" xfId="2" quotePrefix="1" applyFont="1" applyFill="1"/>
    <xf numFmtId="0" fontId="25" fillId="0" borderId="0" xfId="2" applyFont="1" applyAlignment="1">
      <alignment horizontal="right"/>
    </xf>
    <xf numFmtId="0" fontId="62" fillId="0" borderId="0" xfId="2" applyFont="1" applyAlignment="1">
      <alignment horizontal="right"/>
    </xf>
    <xf numFmtId="0" fontId="62" fillId="0" borderId="0" xfId="2" applyFont="1"/>
    <xf numFmtId="0" fontId="66" fillId="0" borderId="0" xfId="2" applyFont="1"/>
    <xf numFmtId="0" fontId="67" fillId="0" borderId="0" xfId="2" applyFont="1"/>
    <xf numFmtId="0" fontId="60" fillId="10" borderId="0" xfId="2" quotePrefix="1" applyFont="1" applyFill="1" applyAlignment="1">
      <alignment horizontal="left" vertical="center"/>
    </xf>
    <xf numFmtId="0" fontId="62" fillId="10" borderId="0" xfId="2" quotePrefix="1" applyFont="1" applyFill="1" applyAlignment="1">
      <alignment horizontal="right"/>
    </xf>
    <xf numFmtId="0" fontId="62" fillId="10" borderId="0" xfId="2" applyFont="1" applyFill="1" applyAlignment="1">
      <alignment horizontal="center"/>
    </xf>
    <xf numFmtId="0" fontId="62" fillId="10" borderId="0" xfId="2" applyFont="1" applyFill="1" applyAlignment="1">
      <alignment horizontal="right"/>
    </xf>
    <xf numFmtId="0" fontId="62" fillId="10" borderId="0" xfId="2" applyFont="1" applyFill="1" applyAlignment="1">
      <alignment wrapText="1"/>
    </xf>
    <xf numFmtId="0" fontId="64" fillId="10" borderId="0" xfId="2" applyFont="1" applyFill="1" applyAlignment="1">
      <alignment horizontal="center" wrapText="1"/>
    </xf>
    <xf numFmtId="9" fontId="64" fillId="10" borderId="0" xfId="2" applyNumberFormat="1" applyFont="1" applyFill="1" applyAlignment="1">
      <alignment vertical="center"/>
    </xf>
    <xf numFmtId="0" fontId="62" fillId="10" borderId="0" xfId="2" applyFont="1" applyFill="1" applyAlignment="1">
      <alignment horizontal="right" wrapText="1"/>
    </xf>
    <xf numFmtId="166" fontId="65" fillId="10" borderId="1" xfId="2" applyNumberFormat="1" applyFont="1" applyFill="1" applyBorder="1" applyAlignment="1">
      <alignment horizontal="left"/>
    </xf>
    <xf numFmtId="166" fontId="66" fillId="0" borderId="1" xfId="2" applyNumberFormat="1" applyFont="1" applyBorder="1" applyAlignment="1">
      <alignment horizontal="left"/>
    </xf>
    <xf numFmtId="0" fontId="67" fillId="0" borderId="1" xfId="2" applyFont="1" applyBorder="1"/>
    <xf numFmtId="164" fontId="65" fillId="0" borderId="1" xfId="2" applyNumberFormat="1" applyFont="1" applyBorder="1"/>
    <xf numFmtId="0" fontId="62" fillId="0" borderId="1" xfId="2" quotePrefix="1" applyFont="1" applyBorder="1" applyAlignment="1">
      <alignment horizontal="right"/>
    </xf>
    <xf numFmtId="0" fontId="62" fillId="0" borderId="0" xfId="2" applyFont="1" applyAlignment="1">
      <alignment horizontal="left"/>
    </xf>
    <xf numFmtId="0" fontId="65" fillId="0" borderId="0" xfId="2" applyFont="1" applyAlignment="1">
      <alignment horizontal="right"/>
    </xf>
    <xf numFmtId="0" fontId="62" fillId="0" borderId="0" xfId="2" quotePrefix="1" applyFont="1" applyAlignment="1">
      <alignment horizontal="right"/>
    </xf>
    <xf numFmtId="0" fontId="66" fillId="0" borderId="1" xfId="2" applyFont="1" applyBorder="1" applyAlignment="1">
      <alignment horizontal="center"/>
    </xf>
    <xf numFmtId="0" fontId="66" fillId="0" borderId="1" xfId="0" applyFont="1" applyBorder="1" applyAlignment="1">
      <alignment horizontal="center"/>
    </xf>
    <xf numFmtId="167" fontId="60" fillId="12" borderId="0" xfId="0" applyNumberFormat="1" applyFont="1" applyFill="1"/>
    <xf numFmtId="0" fontId="66" fillId="0" borderId="2" xfId="0" applyFont="1" applyBorder="1" applyAlignment="1">
      <alignment horizont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/>
    </xf>
    <xf numFmtId="167" fontId="60" fillId="12" borderId="5" xfId="0" applyNumberFormat="1" applyFont="1" applyFill="1" applyBorder="1" applyAlignment="1" applyProtection="1">
      <alignment horizontal="center"/>
      <protection locked="0"/>
    </xf>
    <xf numFmtId="167" fontId="60" fillId="12" borderId="6" xfId="0" applyNumberFormat="1" applyFont="1" applyFill="1" applyBorder="1" applyAlignment="1" applyProtection="1">
      <alignment horizontal="center"/>
      <protection locked="0"/>
    </xf>
    <xf numFmtId="0" fontId="59" fillId="12" borderId="3" xfId="0" applyFont="1" applyFill="1" applyBorder="1" applyAlignment="1">
      <alignment horizontal="center"/>
    </xf>
    <xf numFmtId="0" fontId="62" fillId="10" borderId="3" xfId="0" applyFont="1" applyFill="1" applyBorder="1" applyAlignment="1">
      <alignment horizontal="left" wrapText="1"/>
    </xf>
    <xf numFmtId="0" fontId="60" fillId="12" borderId="5" xfId="0" applyFont="1" applyFill="1" applyBorder="1" applyAlignment="1" applyProtection="1">
      <alignment horizontal="center"/>
      <protection locked="0"/>
    </xf>
    <xf numFmtId="0" fontId="60" fillId="12" borderId="1" xfId="0" applyFont="1" applyFill="1" applyBorder="1" applyAlignment="1" applyProtection="1">
      <alignment horizontal="center"/>
      <protection locked="0"/>
    </xf>
    <xf numFmtId="0" fontId="60" fillId="12" borderId="6" xfId="0" applyFont="1" applyFill="1" applyBorder="1" applyAlignment="1" applyProtection="1">
      <alignment horizontal="center"/>
      <protection locked="0"/>
    </xf>
    <xf numFmtId="0" fontId="62" fillId="10" borderId="0" xfId="0" applyFont="1" applyFill="1" applyAlignment="1">
      <alignment horizontal="center"/>
    </xf>
    <xf numFmtId="0" fontId="63" fillId="10" borderId="0" xfId="0" applyFont="1" applyFill="1" applyAlignment="1">
      <alignment horizontal="left" vertical="center"/>
    </xf>
    <xf numFmtId="166" fontId="65" fillId="10" borderId="2" xfId="0" applyNumberFormat="1" applyFont="1" applyFill="1" applyBorder="1" applyAlignment="1">
      <alignment horizontal="left" vertical="center"/>
    </xf>
    <xf numFmtId="166" fontId="65" fillId="10" borderId="3" xfId="0" applyNumberFormat="1" applyFont="1" applyFill="1" applyBorder="1" applyAlignment="1">
      <alignment horizontal="left" vertical="center"/>
    </xf>
    <xf numFmtId="166" fontId="66" fillId="0" borderId="2" xfId="0" applyNumberFormat="1" applyFont="1" applyBorder="1" applyAlignment="1">
      <alignment horizontal="left" vertical="center"/>
    </xf>
    <xf numFmtId="166" fontId="66" fillId="0" borderId="3" xfId="0" applyNumberFormat="1" applyFont="1" applyBorder="1" applyAlignment="1">
      <alignment horizontal="left" vertical="center"/>
    </xf>
    <xf numFmtId="166" fontId="66" fillId="0" borderId="0" xfId="0" applyNumberFormat="1" applyFont="1" applyAlignment="1">
      <alignment horizontal="left" vertical="center"/>
    </xf>
    <xf numFmtId="166" fontId="65" fillId="10" borderId="0" xfId="0" applyNumberFormat="1" applyFont="1" applyFill="1" applyAlignment="1">
      <alignment horizontal="left" vertical="center"/>
    </xf>
    <xf numFmtId="0" fontId="59" fillId="12" borderId="0" xfId="0" applyFont="1" applyFill="1" applyAlignment="1">
      <alignment horizontal="center"/>
    </xf>
    <xf numFmtId="167" fontId="60" fillId="12" borderId="4" xfId="0" applyNumberFormat="1" applyFont="1" applyFill="1" applyBorder="1" applyAlignment="1" applyProtection="1">
      <alignment horizontal="center"/>
      <protection locked="0"/>
    </xf>
    <xf numFmtId="0" fontId="60" fillId="10" borderId="0" xfId="0" quotePrefix="1" applyFont="1" applyFill="1" applyAlignment="1">
      <alignment vertical="center"/>
    </xf>
    <xf numFmtId="0" fontId="60" fillId="10" borderId="0" xfId="0" quotePrefix="1" applyFont="1" applyFill="1" applyAlignment="1">
      <alignment horizontal="left" vertical="center"/>
    </xf>
    <xf numFmtId="166" fontId="60" fillId="10" borderId="0" xfId="0" applyNumberFormat="1" applyFont="1" applyFill="1" applyAlignment="1">
      <alignment horizontal="center"/>
    </xf>
    <xf numFmtId="166" fontId="60" fillId="10" borderId="0" xfId="0" applyNumberFormat="1" applyFont="1" applyFill="1" applyAlignment="1">
      <alignment horizontal="center" vertical="center"/>
    </xf>
    <xf numFmtId="0" fontId="59" fillId="10" borderId="0" xfId="0" applyFont="1" applyFill="1" applyAlignment="1">
      <alignment horizontal="right"/>
    </xf>
    <xf numFmtId="0" fontId="62" fillId="0" borderId="2" xfId="0" quotePrefix="1" applyFont="1" applyBorder="1" applyAlignment="1">
      <alignment horizontal="right" vertical="center"/>
    </xf>
    <xf numFmtId="0" fontId="62" fillId="0" borderId="3" xfId="0" quotePrefix="1" applyFont="1" applyBorder="1" applyAlignment="1">
      <alignment horizontal="right" vertical="center"/>
    </xf>
    <xf numFmtId="0" fontId="62" fillId="10" borderId="3" xfId="2" applyFont="1" applyFill="1" applyBorder="1" applyAlignment="1">
      <alignment horizontal="center" wrapText="1"/>
    </xf>
    <xf numFmtId="0" fontId="60" fillId="12" borderId="5" xfId="2" applyFont="1" applyFill="1" applyBorder="1" applyAlignment="1" applyProtection="1">
      <alignment horizontal="center"/>
      <protection locked="0"/>
    </xf>
    <xf numFmtId="0" fontId="60" fillId="12" borderId="1" xfId="2" applyFont="1" applyFill="1" applyBorder="1" applyAlignment="1" applyProtection="1">
      <alignment horizontal="center"/>
      <protection locked="0"/>
    </xf>
    <xf numFmtId="0" fontId="60" fillId="12" borderId="6" xfId="2" applyFont="1" applyFill="1" applyBorder="1" applyAlignment="1" applyProtection="1">
      <alignment horizontal="center"/>
      <protection locked="0"/>
    </xf>
    <xf numFmtId="0" fontId="59" fillId="12" borderId="0" xfId="2" applyFont="1" applyFill="1" applyAlignment="1">
      <alignment horizontal="right"/>
    </xf>
    <xf numFmtId="0" fontId="63" fillId="10" borderId="0" xfId="2" applyFont="1" applyFill="1" applyAlignment="1">
      <alignment horizontal="left" vertical="center"/>
    </xf>
    <xf numFmtId="0" fontId="62" fillId="10" borderId="0" xfId="2" applyFont="1" applyFill="1" applyAlignment="1">
      <alignment horizontal="center"/>
    </xf>
    <xf numFmtId="167" fontId="60" fillId="12" borderId="4" xfId="2" applyNumberFormat="1" applyFont="1" applyFill="1" applyBorder="1" applyAlignment="1" applyProtection="1">
      <alignment horizontal="center"/>
      <protection locked="0"/>
    </xf>
    <xf numFmtId="166" fontId="60" fillId="12" borderId="0" xfId="2" applyNumberFormat="1" applyFont="1" applyFill="1" applyAlignment="1">
      <alignment horizontal="center"/>
    </xf>
    <xf numFmtId="0" fontId="62" fillId="10" borderId="0" xfId="2" quotePrefix="1" applyFont="1" applyFill="1" applyAlignment="1">
      <alignment horizontal="left"/>
    </xf>
    <xf numFmtId="0" fontId="29" fillId="10" borderId="4" xfId="1" applyFont="1" applyFill="1" applyBorder="1" applyAlignment="1">
      <alignment horizontal="center" wrapText="1"/>
    </xf>
    <xf numFmtId="0" fontId="28" fillId="10" borderId="4" xfId="1" applyFont="1" applyFill="1" applyBorder="1" applyAlignment="1">
      <alignment horizontal="center"/>
    </xf>
    <xf numFmtId="0" fontId="23" fillId="10" borderId="5" xfId="1" applyFont="1" applyFill="1" applyBorder="1" applyAlignment="1" applyProtection="1">
      <alignment horizontal="center"/>
      <protection locked="0"/>
    </xf>
    <xf numFmtId="0" fontId="23" fillId="10" borderId="6" xfId="1" applyFont="1" applyFill="1" applyBorder="1" applyAlignment="1" applyProtection="1">
      <alignment horizontal="center"/>
      <protection locked="0"/>
    </xf>
    <xf numFmtId="167" fontId="23" fillId="10" borderId="5" xfId="1" applyNumberFormat="1" applyFont="1" applyFill="1" applyBorder="1" applyAlignment="1" applyProtection="1">
      <alignment horizontal="center"/>
      <protection locked="0"/>
    </xf>
    <xf numFmtId="167" fontId="23" fillId="10" borderId="6" xfId="1" applyNumberFormat="1" applyFont="1" applyFill="1" applyBorder="1" applyAlignment="1" applyProtection="1">
      <alignment horizontal="center"/>
      <protection locked="0"/>
    </xf>
    <xf numFmtId="166" fontId="23" fillId="10" borderId="5" xfId="1" applyNumberFormat="1" applyFont="1" applyFill="1" applyBorder="1" applyAlignment="1" applyProtection="1">
      <alignment horizontal="center"/>
      <protection locked="0"/>
    </xf>
    <xf numFmtId="166" fontId="23" fillId="10" borderId="6" xfId="1" applyNumberFormat="1" applyFont="1" applyFill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57" fillId="0" borderId="4" xfId="0" applyFont="1" applyBorder="1" applyAlignment="1" applyProtection="1">
      <alignment horizontal="center" vertical="center"/>
      <protection locked="0"/>
    </xf>
    <xf numFmtId="167" fontId="57" fillId="7" borderId="4" xfId="0" applyNumberFormat="1" applyFont="1" applyFill="1" applyBorder="1" applyAlignment="1" applyProtection="1">
      <alignment horizontal="center"/>
      <protection locked="0"/>
    </xf>
    <xf numFmtId="0" fontId="0" fillId="7" borderId="4" xfId="0" applyFill="1" applyBorder="1" applyAlignment="1">
      <alignment horizontal="center"/>
    </xf>
    <xf numFmtId="0" fontId="0" fillId="21" borderId="4" xfId="0" applyFill="1" applyBorder="1" applyAlignment="1">
      <alignment horizontal="center"/>
    </xf>
    <xf numFmtId="167" fontId="57" fillId="21" borderId="4" xfId="0" applyNumberFormat="1" applyFont="1" applyFill="1" applyBorder="1" applyAlignment="1" applyProtection="1">
      <alignment horizontal="center"/>
      <protection locked="0"/>
    </xf>
    <xf numFmtId="16" fontId="2" fillId="0" borderId="2" xfId="0" quotePrefix="1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center"/>
    </xf>
    <xf numFmtId="0" fontId="0" fillId="4" borderId="4" xfId="0" applyFill="1" applyBorder="1" applyAlignment="1">
      <alignment horizontal="center"/>
    </xf>
    <xf numFmtId="167" fontId="57" fillId="4" borderId="4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 textRotation="90"/>
    </xf>
    <xf numFmtId="167" fontId="58" fillId="18" borderId="4" xfId="1" applyNumberFormat="1" applyFont="1" applyFill="1" applyBorder="1" applyAlignment="1" applyProtection="1">
      <alignment horizontal="center"/>
      <protection locked="0"/>
    </xf>
    <xf numFmtId="0" fontId="58" fillId="0" borderId="4" xfId="1" applyFont="1" applyBorder="1" applyAlignment="1" applyProtection="1">
      <alignment horizontal="center" vertical="center"/>
      <protection locked="0"/>
    </xf>
    <xf numFmtId="0" fontId="0" fillId="18" borderId="34" xfId="0" applyFill="1" applyBorder="1" applyAlignment="1">
      <alignment horizontal="center"/>
    </xf>
    <xf numFmtId="0" fontId="0" fillId="18" borderId="35" xfId="0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166" fontId="29" fillId="18" borderId="8" xfId="1" applyNumberFormat="1" applyFont="1" applyFill="1" applyBorder="1" applyAlignment="1">
      <alignment horizontal="right" vertical="center"/>
    </xf>
    <xf numFmtId="166" fontId="29" fillId="18" borderId="0" xfId="1" applyNumberFormat="1" applyFont="1" applyFill="1" applyAlignment="1">
      <alignment horizontal="right" vertical="center"/>
    </xf>
    <xf numFmtId="0" fontId="40" fillId="18" borderId="9" xfId="1" quotePrefix="1" applyFont="1" applyFill="1" applyBorder="1" applyAlignment="1">
      <alignment horizontal="center" vertical="center"/>
    </xf>
    <xf numFmtId="0" fontId="40" fillId="18" borderId="9" xfId="1" applyFont="1" applyFill="1" applyBorder="1" applyAlignment="1">
      <alignment horizontal="center" vertical="center"/>
    </xf>
    <xf numFmtId="0" fontId="24" fillId="18" borderId="8" xfId="1" applyFont="1" applyFill="1" applyBorder="1" applyAlignment="1">
      <alignment horizontal="right"/>
    </xf>
    <xf numFmtId="0" fontId="24" fillId="18" borderId="0" xfId="1" applyFont="1" applyFill="1" applyAlignment="1">
      <alignment horizontal="right"/>
    </xf>
    <xf numFmtId="0" fontId="24" fillId="18" borderId="9" xfId="1" applyFont="1" applyFill="1" applyBorder="1" applyAlignment="1">
      <alignment horizontal="right"/>
    </xf>
    <xf numFmtId="0" fontId="40" fillId="0" borderId="9" xfId="1" quotePrefix="1" applyFont="1" applyBorder="1" applyAlignment="1">
      <alignment horizontal="center" vertical="center"/>
    </xf>
    <xf numFmtId="0" fontId="40" fillId="0" borderId="9" xfId="1" applyFont="1" applyBorder="1" applyAlignment="1">
      <alignment horizontal="center" vertical="center"/>
    </xf>
    <xf numFmtId="166" fontId="24" fillId="18" borderId="8" xfId="1" applyNumberFormat="1" applyFont="1" applyFill="1" applyBorder="1" applyAlignment="1">
      <alignment horizontal="center"/>
    </xf>
    <xf numFmtId="166" fontId="24" fillId="18" borderId="0" xfId="1" applyNumberFormat="1" applyFont="1" applyFill="1" applyAlignment="1">
      <alignment horizontal="center"/>
    </xf>
    <xf numFmtId="166" fontId="24" fillId="18" borderId="9" xfId="1" applyNumberFormat="1" applyFont="1" applyFill="1" applyBorder="1" applyAlignment="1">
      <alignment horizontal="center"/>
    </xf>
    <xf numFmtId="166" fontId="24" fillId="18" borderId="8" xfId="1" applyNumberFormat="1" applyFont="1" applyFill="1" applyBorder="1" applyAlignment="1">
      <alignment horizontal="center" vertical="center"/>
    </xf>
    <xf numFmtId="166" fontId="24" fillId="18" borderId="0" xfId="1" applyNumberFormat="1" applyFont="1" applyFill="1" applyAlignment="1">
      <alignment horizontal="center" vertical="center"/>
    </xf>
    <xf numFmtId="0" fontId="24" fillId="18" borderId="0" xfId="1" applyFont="1" applyFill="1" applyAlignment="1">
      <alignment horizontal="left" vertical="center" wrapText="1"/>
    </xf>
    <xf numFmtId="0" fontId="37" fillId="18" borderId="0" xfId="1" applyFont="1" applyFill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40" fillId="13" borderId="9" xfId="1" applyFont="1" applyFill="1" applyBorder="1" applyAlignment="1">
      <alignment horizontal="center" vertical="center"/>
    </xf>
    <xf numFmtId="166" fontId="29" fillId="0" borderId="8" xfId="1" applyNumberFormat="1" applyFont="1" applyBorder="1" applyAlignment="1">
      <alignment horizontal="right" vertical="center"/>
    </xf>
    <xf numFmtId="166" fontId="29" fillId="0" borderId="0" xfId="1" applyNumberFormat="1" applyFont="1" applyAlignment="1">
      <alignment horizontal="right" vertical="center"/>
    </xf>
    <xf numFmtId="9" fontId="30" fillId="18" borderId="8" xfId="1" applyNumberFormat="1" applyFont="1" applyFill="1" applyBorder="1" applyAlignment="1">
      <alignment horizontal="center"/>
    </xf>
    <xf numFmtId="9" fontId="30" fillId="18" borderId="0" xfId="1" applyNumberFormat="1" applyFont="1" applyFill="1" applyAlignment="1">
      <alignment horizontal="center"/>
    </xf>
    <xf numFmtId="9" fontId="30" fillId="18" borderId="9" xfId="1" applyNumberFormat="1" applyFont="1" applyFill="1" applyBorder="1" applyAlignment="1">
      <alignment horizontal="center"/>
    </xf>
    <xf numFmtId="171" fontId="37" fillId="18" borderId="0" xfId="1" applyNumberFormat="1" applyFont="1" applyFill="1" applyAlignment="1">
      <alignment horizontal="center" vertical="center"/>
    </xf>
    <xf numFmtId="168" fontId="35" fillId="18" borderId="0" xfId="1" applyNumberFormat="1" applyFont="1" applyFill="1" applyAlignment="1">
      <alignment horizontal="center"/>
    </xf>
    <xf numFmtId="168" fontId="36" fillId="18" borderId="0" xfId="1" applyNumberFormat="1" applyFont="1" applyFill="1" applyAlignment="1">
      <alignment horizontal="center"/>
    </xf>
    <xf numFmtId="166" fontId="24" fillId="18" borderId="9" xfId="1" applyNumberFormat="1" applyFont="1" applyFill="1" applyBorder="1" applyAlignment="1">
      <alignment horizontal="center" vertical="center"/>
    </xf>
    <xf numFmtId="16" fontId="40" fillId="0" borderId="9" xfId="1" quotePrefix="1" applyNumberFormat="1" applyFont="1" applyBorder="1" applyAlignment="1">
      <alignment horizontal="center" vertical="center"/>
    </xf>
    <xf numFmtId="0" fontId="24" fillId="18" borderId="8" xfId="1" applyFont="1" applyFill="1" applyBorder="1" applyAlignment="1">
      <alignment horizontal="right" wrapText="1"/>
    </xf>
    <xf numFmtId="0" fontId="24" fillId="18" borderId="0" xfId="1" applyFont="1" applyFill="1" applyAlignment="1">
      <alignment horizontal="right" wrapText="1"/>
    </xf>
    <xf numFmtId="0" fontId="24" fillId="18" borderId="9" xfId="1" applyFont="1" applyFill="1" applyBorder="1" applyAlignment="1">
      <alignment horizontal="right" wrapText="1"/>
    </xf>
    <xf numFmtId="0" fontId="38" fillId="18" borderId="8" xfId="1" applyFont="1" applyFill="1" applyBorder="1" applyAlignment="1">
      <alignment horizontal="center"/>
    </xf>
    <xf numFmtId="0" fontId="38" fillId="18" borderId="0" xfId="1" applyFont="1" applyFill="1" applyAlignment="1">
      <alignment horizontal="center"/>
    </xf>
    <xf numFmtId="0" fontId="38" fillId="18" borderId="9" xfId="1" applyFont="1" applyFill="1" applyBorder="1" applyAlignment="1">
      <alignment horizontal="center"/>
    </xf>
    <xf numFmtId="0" fontId="0" fillId="18" borderId="5" xfId="0" applyFill="1" applyBorder="1" applyAlignment="1">
      <alignment horizontal="center"/>
    </xf>
    <xf numFmtId="0" fontId="0" fillId="18" borderId="6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4" fillId="18" borderId="0" xfId="1" applyFont="1" applyFill="1" applyAlignment="1">
      <alignment horizontal="center" vertical="center" wrapText="1"/>
    </xf>
    <xf numFmtId="0" fontId="24" fillId="18" borderId="0" xfId="1" applyFont="1" applyFill="1" applyAlignment="1">
      <alignment horizontal="right" vertical="center" wrapText="1"/>
    </xf>
    <xf numFmtId="166" fontId="29" fillId="0" borderId="15" xfId="1" applyNumberFormat="1" applyFont="1" applyBorder="1" applyAlignment="1">
      <alignment horizontal="right" vertical="center"/>
    </xf>
    <xf numFmtId="166" fontId="29" fillId="0" borderId="16" xfId="1" applyNumberFormat="1" applyFont="1" applyBorder="1" applyAlignment="1">
      <alignment horizontal="right" vertical="center"/>
    </xf>
    <xf numFmtId="0" fontId="40" fillId="0" borderId="17" xfId="1" applyFont="1" applyBorder="1" applyAlignment="1">
      <alignment horizontal="center" vertical="center"/>
    </xf>
    <xf numFmtId="167" fontId="58" fillId="19" borderId="4" xfId="1" applyNumberFormat="1" applyFont="1" applyFill="1" applyBorder="1" applyAlignment="1" applyProtection="1">
      <alignment horizontal="center"/>
      <protection locked="0"/>
    </xf>
    <xf numFmtId="0" fontId="0" fillId="19" borderId="4" xfId="0" applyFill="1" applyBorder="1" applyAlignment="1">
      <alignment horizontal="center"/>
    </xf>
    <xf numFmtId="166" fontId="29" fillId="0" borderId="23" xfId="1" applyNumberFormat="1" applyFont="1" applyBorder="1" applyAlignment="1">
      <alignment horizontal="right" vertical="center"/>
    </xf>
    <xf numFmtId="166" fontId="29" fillId="19" borderId="23" xfId="1" applyNumberFormat="1" applyFont="1" applyFill="1" applyBorder="1" applyAlignment="1">
      <alignment horizontal="right" vertical="center"/>
    </xf>
    <xf numFmtId="166" fontId="29" fillId="0" borderId="23" xfId="1" applyNumberFormat="1" applyFont="1" applyBorder="1" applyAlignment="1">
      <alignment vertical="center"/>
    </xf>
    <xf numFmtId="166" fontId="24" fillId="19" borderId="21" xfId="1" applyNumberFormat="1" applyFont="1" applyFill="1" applyBorder="1" applyAlignment="1">
      <alignment horizontal="center"/>
    </xf>
    <xf numFmtId="166" fontId="24" fillId="19" borderId="22" xfId="1" applyNumberFormat="1" applyFont="1" applyFill="1" applyBorder="1" applyAlignment="1">
      <alignment horizontal="center"/>
    </xf>
    <xf numFmtId="0" fontId="24" fillId="19" borderId="0" xfId="1" applyFont="1" applyFill="1" applyAlignment="1">
      <alignment horizontal="left" vertical="center" wrapText="1"/>
    </xf>
    <xf numFmtId="0" fontId="37" fillId="19" borderId="0" xfId="1" applyFont="1" applyFill="1" applyAlignment="1">
      <alignment horizontal="left" vertical="center"/>
    </xf>
    <xf numFmtId="171" fontId="37" fillId="19" borderId="0" xfId="1" applyNumberFormat="1" applyFont="1" applyFill="1" applyAlignment="1">
      <alignment horizontal="left" vertical="center"/>
    </xf>
    <xf numFmtId="171" fontId="37" fillId="19" borderId="0" xfId="1" applyNumberFormat="1" applyFont="1" applyFill="1" applyAlignment="1">
      <alignment horizontal="center" vertical="center"/>
    </xf>
    <xf numFmtId="0" fontId="24" fillId="19" borderId="0" xfId="1" applyFont="1" applyFill="1" applyAlignment="1">
      <alignment horizontal="right" wrapText="1"/>
    </xf>
    <xf numFmtId="0" fontId="24" fillId="19" borderId="0" xfId="1" applyFont="1" applyFill="1" applyAlignment="1">
      <alignment horizontal="right"/>
    </xf>
    <xf numFmtId="166" fontId="24" fillId="19" borderId="25" xfId="1" applyNumberFormat="1" applyFont="1" applyFill="1" applyBorder="1" applyAlignment="1">
      <alignment horizontal="center"/>
    </xf>
    <xf numFmtId="0" fontId="0" fillId="22" borderId="4" xfId="0" applyFill="1" applyBorder="1" applyAlignment="1">
      <alignment horizontal="center"/>
    </xf>
    <xf numFmtId="167" fontId="58" fillId="22" borderId="4" xfId="1" applyNumberFormat="1" applyFont="1" applyFill="1" applyBorder="1" applyAlignment="1" applyProtection="1">
      <alignment horizontal="center"/>
      <protection locked="0"/>
    </xf>
    <xf numFmtId="166" fontId="29" fillId="14" borderId="23" xfId="1" applyNumberFormat="1" applyFont="1" applyFill="1" applyBorder="1" applyAlignment="1">
      <alignment horizontal="right" vertical="center"/>
    </xf>
    <xf numFmtId="166" fontId="24" fillId="14" borderId="21" xfId="1" applyNumberFormat="1" applyFont="1" applyFill="1" applyBorder="1" applyAlignment="1">
      <alignment horizontal="center"/>
    </xf>
    <xf numFmtId="166" fontId="24" fillId="14" borderId="22" xfId="1" applyNumberFormat="1" applyFont="1" applyFill="1" applyBorder="1" applyAlignment="1">
      <alignment horizontal="center"/>
    </xf>
    <xf numFmtId="0" fontId="24" fillId="14" borderId="0" xfId="1" applyFont="1" applyFill="1" applyAlignment="1">
      <alignment horizontal="left" vertical="center" wrapText="1"/>
    </xf>
    <xf numFmtId="0" fontId="37" fillId="14" borderId="0" xfId="1" applyFont="1" applyFill="1" applyAlignment="1">
      <alignment horizontal="left" vertical="center"/>
    </xf>
    <xf numFmtId="171" fontId="37" fillId="14" borderId="0" xfId="1" applyNumberFormat="1" applyFont="1" applyFill="1" applyAlignment="1">
      <alignment horizontal="left" vertical="center"/>
    </xf>
    <xf numFmtId="171" fontId="37" fillId="14" borderId="0" xfId="1" applyNumberFormat="1" applyFont="1" applyFill="1" applyAlignment="1">
      <alignment horizontal="center" vertical="center"/>
    </xf>
    <xf numFmtId="0" fontId="24" fillId="14" borderId="0" xfId="1" applyFont="1" applyFill="1" applyAlignment="1">
      <alignment horizontal="right" wrapText="1"/>
    </xf>
    <xf numFmtId="0" fontId="24" fillId="14" borderId="0" xfId="1" applyFont="1" applyFill="1" applyAlignment="1">
      <alignment horizontal="right"/>
    </xf>
    <xf numFmtId="166" fontId="24" fillId="14" borderId="25" xfId="1" applyNumberFormat="1" applyFont="1" applyFill="1" applyBorder="1" applyAlignment="1">
      <alignment horizontal="center"/>
    </xf>
    <xf numFmtId="0" fontId="35" fillId="20" borderId="0" xfId="1" applyFont="1" applyFill="1" applyAlignment="1">
      <alignment horizontal="left"/>
    </xf>
    <xf numFmtId="0" fontId="28" fillId="20" borderId="0" xfId="1" applyFont="1" applyFill="1" applyAlignment="1">
      <alignment horizontal="left"/>
    </xf>
    <xf numFmtId="166" fontId="24" fillId="20" borderId="0" xfId="1" applyNumberFormat="1" applyFont="1" applyFill="1" applyAlignment="1">
      <alignment horizontal="right" vertical="center" wrapText="1"/>
    </xf>
    <xf numFmtId="0" fontId="0" fillId="20" borderId="4" xfId="0" applyFill="1" applyBorder="1" applyAlignment="1">
      <alignment horizontal="center"/>
    </xf>
    <xf numFmtId="167" fontId="58" fillId="20" borderId="4" xfId="1" applyNumberFormat="1" applyFont="1" applyFill="1" applyBorder="1" applyAlignment="1" applyProtection="1">
      <alignment horizontal="center"/>
      <protection locked="0"/>
    </xf>
    <xf numFmtId="0" fontId="24" fillId="20" borderId="0" xfId="1" applyFont="1" applyFill="1" applyAlignment="1">
      <alignment horizontal="center" vertical="center" wrapText="1"/>
    </xf>
    <xf numFmtId="0" fontId="37" fillId="20" borderId="0" xfId="1" applyFont="1" applyFill="1" applyAlignment="1">
      <alignment horizontal="center" vertical="center"/>
    </xf>
    <xf numFmtId="171" fontId="24" fillId="20" borderId="0" xfId="1" applyNumberFormat="1" applyFont="1" applyFill="1" applyAlignment="1">
      <alignment horizontal="right" vertical="center"/>
    </xf>
    <xf numFmtId="171" fontId="37" fillId="20" borderId="0" xfId="1" applyNumberFormat="1" applyFont="1" applyFill="1" applyAlignment="1">
      <alignment horizontal="center" vertical="center"/>
    </xf>
    <xf numFmtId="166" fontId="24" fillId="20" borderId="0" xfId="1" applyNumberFormat="1" applyFont="1" applyFill="1" applyAlignment="1">
      <alignment horizontal="center" vertical="center" wrapText="1"/>
    </xf>
    <xf numFmtId="166" fontId="24" fillId="20" borderId="0" xfId="1" applyNumberFormat="1" applyFont="1" applyFill="1" applyAlignment="1">
      <alignment horizontal="center" wrapText="1"/>
    </xf>
    <xf numFmtId="166" fontId="24" fillId="20" borderId="0" xfId="1" applyNumberFormat="1" applyFont="1" applyFill="1" applyAlignment="1">
      <alignment horizontal="right" wrapText="1"/>
    </xf>
    <xf numFmtId="0" fontId="24" fillId="20" borderId="0" xfId="1" applyFont="1" applyFill="1" applyAlignment="1">
      <alignment horizontal="center" vertical="center"/>
    </xf>
  </cellXfs>
  <cellStyles count="3">
    <cellStyle name="Standard" xfId="0" builtinId="0"/>
    <cellStyle name="Standard 2" xfId="1" xr:uid="{5B5FC570-1C48-43A3-B4E8-18E3692EC814}"/>
    <cellStyle name="Standard 2 2" xfId="2" xr:uid="{307EF8F9-5800-4FA7-961B-A718112687C5}"/>
  </cellStyles>
  <dxfs count="243">
    <dxf>
      <fill>
        <patternFill patternType="gray125">
          <fgColor rgb="FFFF0000"/>
          <bgColor auto="1"/>
        </patternFill>
      </fill>
    </dxf>
    <dxf>
      <fill>
        <patternFill patternType="gray125">
          <fgColor rgb="FFFF0000"/>
        </patternFill>
      </fill>
    </dxf>
    <dxf>
      <fill>
        <patternFill patternType="gray125">
          <fgColor rgb="FFFF0000"/>
        </patternFill>
      </fill>
    </dxf>
    <dxf>
      <fill>
        <patternFill patternType="gray125">
          <fgColor indexed="10"/>
        </patternFill>
      </fill>
    </dxf>
    <dxf>
      <fill>
        <patternFill patternType="gray125">
          <fgColor rgb="FFFF0000"/>
        </patternFill>
      </fill>
    </dxf>
    <dxf>
      <font>
        <b/>
        <i val="0"/>
        <condense val="0"/>
        <extend val="0"/>
        <color auto="1"/>
      </font>
      <fill>
        <patternFill patternType="gray125">
          <fgColor indexed="10"/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ndense val="0"/>
        <extend val="0"/>
      </font>
      <fill>
        <patternFill patternType="gray125">
          <fgColor indexed="10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2DCDB"/>
      <color rgb="FFFCE4D6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'BASE-C90POWER'!$C$1</c:f>
              <c:strCache>
                <c:ptCount val="1"/>
                <c:pt idx="0">
                  <c:v>LIB 176-90 POWER+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'BASE-C90POWER'!$C$2:$C$21</c:f>
              <c:numCache>
                <c:formatCode>General</c:formatCode>
                <c:ptCount val="20"/>
                <c:pt idx="0">
                  <c:v>104</c:v>
                </c:pt>
                <c:pt idx="1">
                  <c:v>130</c:v>
                </c:pt>
                <c:pt idx="2">
                  <c:v>156</c:v>
                </c:pt>
                <c:pt idx="3">
                  <c:v>181</c:v>
                </c:pt>
                <c:pt idx="4">
                  <c:v>207</c:v>
                </c:pt>
                <c:pt idx="5">
                  <c:v>234</c:v>
                </c:pt>
                <c:pt idx="6">
                  <c:v>259</c:v>
                </c:pt>
                <c:pt idx="7">
                  <c:v>312</c:v>
                </c:pt>
                <c:pt idx="8">
                  <c:v>363</c:v>
                </c:pt>
                <c:pt idx="9">
                  <c:v>415</c:v>
                </c:pt>
                <c:pt idx="10">
                  <c:v>466</c:v>
                </c:pt>
                <c:pt idx="11">
                  <c:v>519</c:v>
                </c:pt>
                <c:pt idx="12">
                  <c:v>571</c:v>
                </c:pt>
                <c:pt idx="13">
                  <c:v>622</c:v>
                </c:pt>
                <c:pt idx="14">
                  <c:v>675</c:v>
                </c:pt>
                <c:pt idx="15">
                  <c:v>726</c:v>
                </c:pt>
                <c:pt idx="16">
                  <c:v>778</c:v>
                </c:pt>
                <c:pt idx="17">
                  <c:v>830</c:v>
                </c:pt>
                <c:pt idx="18">
                  <c:v>882</c:v>
                </c:pt>
                <c:pt idx="19">
                  <c:v>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E-4E61-9E90-AE52CF4D2589}"/>
            </c:ext>
          </c:extLst>
        </c:ser>
        <c:ser>
          <c:idx val="1"/>
          <c:order val="1"/>
          <c:tx>
            <c:strRef>
              <c:f>'BASE-C90POWER'!$D$1</c:f>
              <c:strCache>
                <c:ptCount val="1"/>
                <c:pt idx="0">
                  <c:v>LIB 224-90 POWER+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'BASE-C90POWER'!$D$2:$D$21</c:f>
              <c:numCache>
                <c:formatCode>General</c:formatCode>
                <c:ptCount val="20"/>
                <c:pt idx="0">
                  <c:v>125</c:v>
                </c:pt>
                <c:pt idx="1">
                  <c:v>158</c:v>
                </c:pt>
                <c:pt idx="2">
                  <c:v>189</c:v>
                </c:pt>
                <c:pt idx="3">
                  <c:v>220</c:v>
                </c:pt>
                <c:pt idx="4">
                  <c:v>252</c:v>
                </c:pt>
                <c:pt idx="5">
                  <c:v>283</c:v>
                </c:pt>
                <c:pt idx="6">
                  <c:v>314</c:v>
                </c:pt>
                <c:pt idx="7">
                  <c:v>377</c:v>
                </c:pt>
                <c:pt idx="8">
                  <c:v>440</c:v>
                </c:pt>
                <c:pt idx="9">
                  <c:v>504</c:v>
                </c:pt>
                <c:pt idx="10">
                  <c:v>566</c:v>
                </c:pt>
                <c:pt idx="11">
                  <c:v>629</c:v>
                </c:pt>
                <c:pt idx="12">
                  <c:v>692</c:v>
                </c:pt>
                <c:pt idx="13">
                  <c:v>754</c:v>
                </c:pt>
                <c:pt idx="14">
                  <c:v>818</c:v>
                </c:pt>
                <c:pt idx="15">
                  <c:v>871</c:v>
                </c:pt>
                <c:pt idx="16">
                  <c:v>943</c:v>
                </c:pt>
                <c:pt idx="17">
                  <c:v>1006</c:v>
                </c:pt>
                <c:pt idx="18">
                  <c:v>1069</c:v>
                </c:pt>
                <c:pt idx="19">
                  <c:v>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9E-4E61-9E90-AE52CF4D2589}"/>
            </c:ext>
          </c:extLst>
        </c:ser>
        <c:ser>
          <c:idx val="2"/>
          <c:order val="2"/>
          <c:tx>
            <c:strRef>
              <c:f>'BASE-C90POWER'!$E$1</c:f>
              <c:strCache>
                <c:ptCount val="1"/>
                <c:pt idx="0">
                  <c:v>LIB 240-90 POWER+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'BASE-C90POWER'!$E$2:$E$21</c:f>
              <c:numCache>
                <c:formatCode>General</c:formatCode>
                <c:ptCount val="20"/>
                <c:pt idx="0">
                  <c:v>129</c:v>
                </c:pt>
                <c:pt idx="1">
                  <c:v>163</c:v>
                </c:pt>
                <c:pt idx="2">
                  <c:v>195</c:v>
                </c:pt>
                <c:pt idx="3">
                  <c:v>227</c:v>
                </c:pt>
                <c:pt idx="4">
                  <c:v>260</c:v>
                </c:pt>
                <c:pt idx="5">
                  <c:v>292</c:v>
                </c:pt>
                <c:pt idx="6">
                  <c:v>324</c:v>
                </c:pt>
                <c:pt idx="7">
                  <c:v>389</c:v>
                </c:pt>
                <c:pt idx="8">
                  <c:v>454</c:v>
                </c:pt>
                <c:pt idx="9">
                  <c:v>519</c:v>
                </c:pt>
                <c:pt idx="10">
                  <c:v>584</c:v>
                </c:pt>
                <c:pt idx="11">
                  <c:v>649</c:v>
                </c:pt>
                <c:pt idx="12">
                  <c:v>713</c:v>
                </c:pt>
                <c:pt idx="13">
                  <c:v>778</c:v>
                </c:pt>
                <c:pt idx="14">
                  <c:v>844</c:v>
                </c:pt>
                <c:pt idx="15">
                  <c:v>899</c:v>
                </c:pt>
                <c:pt idx="16">
                  <c:v>973</c:v>
                </c:pt>
                <c:pt idx="17">
                  <c:v>1038</c:v>
                </c:pt>
                <c:pt idx="18">
                  <c:v>1103</c:v>
                </c:pt>
                <c:pt idx="19">
                  <c:v>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E-4E61-9E90-AE52CF4D2589}"/>
            </c:ext>
          </c:extLst>
        </c:ser>
        <c:ser>
          <c:idx val="3"/>
          <c:order val="3"/>
          <c:tx>
            <c:strRef>
              <c:f>'BASE-C90POWER'!$F$1</c:f>
              <c:strCache>
                <c:ptCount val="1"/>
                <c:pt idx="0">
                  <c:v>LIB 272-90 POWER+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'BASE-C90POWER'!$F$2:$F$21</c:f>
              <c:numCache>
                <c:formatCode>General</c:formatCode>
                <c:ptCount val="20"/>
                <c:pt idx="0">
                  <c:v>158</c:v>
                </c:pt>
                <c:pt idx="1">
                  <c:v>198</c:v>
                </c:pt>
                <c:pt idx="2">
                  <c:v>238</c:v>
                </c:pt>
                <c:pt idx="3">
                  <c:v>278</c:v>
                </c:pt>
                <c:pt idx="4">
                  <c:v>318</c:v>
                </c:pt>
                <c:pt idx="5">
                  <c:v>357</c:v>
                </c:pt>
                <c:pt idx="6">
                  <c:v>397</c:v>
                </c:pt>
                <c:pt idx="7">
                  <c:v>476</c:v>
                </c:pt>
                <c:pt idx="8">
                  <c:v>555</c:v>
                </c:pt>
                <c:pt idx="9">
                  <c:v>635</c:v>
                </c:pt>
                <c:pt idx="10">
                  <c:v>714</c:v>
                </c:pt>
                <c:pt idx="11">
                  <c:v>794</c:v>
                </c:pt>
                <c:pt idx="12">
                  <c:v>873</c:v>
                </c:pt>
                <c:pt idx="13">
                  <c:v>952</c:v>
                </c:pt>
                <c:pt idx="14">
                  <c:v>1032</c:v>
                </c:pt>
                <c:pt idx="15">
                  <c:v>1111</c:v>
                </c:pt>
                <c:pt idx="16">
                  <c:v>1190</c:v>
                </c:pt>
                <c:pt idx="17">
                  <c:v>1269</c:v>
                </c:pt>
                <c:pt idx="18">
                  <c:v>1349</c:v>
                </c:pt>
                <c:pt idx="19">
                  <c:v>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9E-4E61-9E90-AE52CF4D2589}"/>
            </c:ext>
          </c:extLst>
        </c:ser>
        <c:ser>
          <c:idx val="4"/>
          <c:order val="4"/>
          <c:tx>
            <c:strRef>
              <c:f>'BASE-C90POWER'!$G$1</c:f>
              <c:strCache>
                <c:ptCount val="1"/>
                <c:pt idx="0">
                  <c:v>LIB 304-90 POWER+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'BASE-C90POWER'!$G$2:$G$21</c:f>
              <c:numCache>
                <c:formatCode>General</c:formatCode>
                <c:ptCount val="20"/>
                <c:pt idx="0">
                  <c:v>169</c:v>
                </c:pt>
                <c:pt idx="1">
                  <c:v>211</c:v>
                </c:pt>
                <c:pt idx="2">
                  <c:v>254</c:v>
                </c:pt>
                <c:pt idx="3">
                  <c:v>296</c:v>
                </c:pt>
                <c:pt idx="4">
                  <c:v>339</c:v>
                </c:pt>
                <c:pt idx="5">
                  <c:v>380</c:v>
                </c:pt>
                <c:pt idx="6">
                  <c:v>423</c:v>
                </c:pt>
                <c:pt idx="7">
                  <c:v>507</c:v>
                </c:pt>
                <c:pt idx="8">
                  <c:v>592</c:v>
                </c:pt>
                <c:pt idx="9">
                  <c:v>677</c:v>
                </c:pt>
                <c:pt idx="10">
                  <c:v>761</c:v>
                </c:pt>
                <c:pt idx="11">
                  <c:v>846</c:v>
                </c:pt>
                <c:pt idx="12">
                  <c:v>930</c:v>
                </c:pt>
                <c:pt idx="13">
                  <c:v>1015</c:v>
                </c:pt>
                <c:pt idx="14">
                  <c:v>1100</c:v>
                </c:pt>
                <c:pt idx="15">
                  <c:v>1184</c:v>
                </c:pt>
                <c:pt idx="16">
                  <c:v>1269</c:v>
                </c:pt>
                <c:pt idx="17">
                  <c:v>1353</c:v>
                </c:pt>
                <c:pt idx="18">
                  <c:v>1438</c:v>
                </c:pt>
                <c:pt idx="19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9E-4E61-9E90-AE52CF4D2589}"/>
            </c:ext>
          </c:extLst>
        </c:ser>
        <c:ser>
          <c:idx val="5"/>
          <c:order val="5"/>
          <c:tx>
            <c:strRef>
              <c:f>'BASE-C90POWER'!$H$1</c:f>
              <c:strCache>
                <c:ptCount val="1"/>
                <c:pt idx="0">
                  <c:v>LIB 336-90 POWER+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'BASE-C90POWER'!$H$2:$H$21</c:f>
              <c:numCache>
                <c:formatCode>General</c:formatCode>
                <c:ptCount val="20"/>
                <c:pt idx="0">
                  <c:v>186</c:v>
                </c:pt>
                <c:pt idx="1">
                  <c:v>232</c:v>
                </c:pt>
                <c:pt idx="2">
                  <c:v>279</c:v>
                </c:pt>
                <c:pt idx="3">
                  <c:v>326</c:v>
                </c:pt>
                <c:pt idx="4">
                  <c:v>372</c:v>
                </c:pt>
                <c:pt idx="5">
                  <c:v>419</c:v>
                </c:pt>
                <c:pt idx="6">
                  <c:v>465</c:v>
                </c:pt>
                <c:pt idx="7">
                  <c:v>558</c:v>
                </c:pt>
                <c:pt idx="8">
                  <c:v>651</c:v>
                </c:pt>
                <c:pt idx="9">
                  <c:v>744</c:v>
                </c:pt>
                <c:pt idx="10">
                  <c:v>837</c:v>
                </c:pt>
                <c:pt idx="11">
                  <c:v>930</c:v>
                </c:pt>
                <c:pt idx="12">
                  <c:v>1023</c:v>
                </c:pt>
                <c:pt idx="13">
                  <c:v>1116</c:v>
                </c:pt>
                <c:pt idx="14">
                  <c:v>1209</c:v>
                </c:pt>
                <c:pt idx="15">
                  <c:v>1302</c:v>
                </c:pt>
                <c:pt idx="16">
                  <c:v>1395</c:v>
                </c:pt>
                <c:pt idx="17">
                  <c:v>1488</c:v>
                </c:pt>
                <c:pt idx="18">
                  <c:v>1581</c:v>
                </c:pt>
                <c:pt idx="19">
                  <c:v>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9E-4E61-9E90-AE52CF4D2589}"/>
            </c:ext>
          </c:extLst>
        </c:ser>
        <c:ser>
          <c:idx val="6"/>
          <c:order val="6"/>
          <c:tx>
            <c:strRef>
              <c:f>'BASE-C90POWER'!$I$1</c:f>
              <c:strCache>
                <c:ptCount val="1"/>
                <c:pt idx="0">
                  <c:v>LIB 368-90 POWER+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'BASE-C90POWER'!$I$2:$I$21</c:f>
              <c:numCache>
                <c:formatCode>General</c:formatCode>
                <c:ptCount val="20"/>
                <c:pt idx="0">
                  <c:v>214</c:v>
                </c:pt>
                <c:pt idx="1">
                  <c:v>267</c:v>
                </c:pt>
                <c:pt idx="2">
                  <c:v>320</c:v>
                </c:pt>
                <c:pt idx="3">
                  <c:v>374</c:v>
                </c:pt>
                <c:pt idx="4">
                  <c:v>427</c:v>
                </c:pt>
                <c:pt idx="5">
                  <c:v>481</c:v>
                </c:pt>
                <c:pt idx="6">
                  <c:v>534</c:v>
                </c:pt>
                <c:pt idx="7">
                  <c:v>641</c:v>
                </c:pt>
                <c:pt idx="8">
                  <c:v>748</c:v>
                </c:pt>
                <c:pt idx="9">
                  <c:v>854</c:v>
                </c:pt>
                <c:pt idx="10">
                  <c:v>961</c:v>
                </c:pt>
                <c:pt idx="11">
                  <c:v>1068</c:v>
                </c:pt>
                <c:pt idx="12">
                  <c:v>1175</c:v>
                </c:pt>
                <c:pt idx="13">
                  <c:v>1282</c:v>
                </c:pt>
                <c:pt idx="14">
                  <c:v>1388</c:v>
                </c:pt>
                <c:pt idx="15">
                  <c:v>1495</c:v>
                </c:pt>
                <c:pt idx="16">
                  <c:v>1601</c:v>
                </c:pt>
                <c:pt idx="17">
                  <c:v>1708</c:v>
                </c:pt>
                <c:pt idx="18">
                  <c:v>1815</c:v>
                </c:pt>
                <c:pt idx="19">
                  <c:v>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9E-4E61-9E90-AE52CF4D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794240"/>
        <c:axId val="108795776"/>
      </c:lineChart>
      <c:catAx>
        <c:axId val="108794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8795776"/>
        <c:crosses val="autoZero"/>
        <c:auto val="1"/>
        <c:lblAlgn val="ctr"/>
        <c:lblOffset val="100"/>
        <c:noMultiLvlLbl val="0"/>
      </c:catAx>
      <c:valAx>
        <c:axId val="10879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879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'BASE-C190'!$B$1</c:f>
              <c:strCache>
                <c:ptCount val="1"/>
                <c:pt idx="0">
                  <c:v>C144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'BASE-C190'!$B$2:$B$21</c:f>
              <c:numCache>
                <c:formatCode>General</c:formatCode>
                <c:ptCount val="20"/>
                <c:pt idx="0">
                  <c:v>88</c:v>
                </c:pt>
                <c:pt idx="1">
                  <c:v>110</c:v>
                </c:pt>
                <c:pt idx="2">
                  <c:v>132</c:v>
                </c:pt>
                <c:pt idx="3">
                  <c:v>154</c:v>
                </c:pt>
                <c:pt idx="4">
                  <c:v>176</c:v>
                </c:pt>
                <c:pt idx="5">
                  <c:v>198</c:v>
                </c:pt>
                <c:pt idx="6">
                  <c:v>220</c:v>
                </c:pt>
                <c:pt idx="7">
                  <c:v>264</c:v>
                </c:pt>
                <c:pt idx="8">
                  <c:v>308</c:v>
                </c:pt>
                <c:pt idx="9">
                  <c:v>352</c:v>
                </c:pt>
                <c:pt idx="10">
                  <c:v>396</c:v>
                </c:pt>
                <c:pt idx="11">
                  <c:v>440</c:v>
                </c:pt>
                <c:pt idx="12">
                  <c:v>484</c:v>
                </c:pt>
                <c:pt idx="13">
                  <c:v>528</c:v>
                </c:pt>
                <c:pt idx="14">
                  <c:v>572</c:v>
                </c:pt>
                <c:pt idx="15">
                  <c:v>617</c:v>
                </c:pt>
                <c:pt idx="16">
                  <c:v>660</c:v>
                </c:pt>
                <c:pt idx="17">
                  <c:v>704</c:v>
                </c:pt>
                <c:pt idx="18">
                  <c:v>748</c:v>
                </c:pt>
                <c:pt idx="19">
                  <c:v>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B-4445-85A7-C38F1BDD9837}"/>
            </c:ext>
          </c:extLst>
        </c:ser>
        <c:ser>
          <c:idx val="1"/>
          <c:order val="1"/>
          <c:tx>
            <c:strRef>
              <c:f>'BASE-C190'!$C$1</c:f>
              <c:strCache>
                <c:ptCount val="1"/>
                <c:pt idx="0">
                  <c:v>C176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'BASE-C190'!$C$2:$C$21</c:f>
              <c:numCache>
                <c:formatCode>General</c:formatCode>
                <c:ptCount val="20"/>
                <c:pt idx="0">
                  <c:v>110</c:v>
                </c:pt>
                <c:pt idx="1">
                  <c:v>137</c:v>
                </c:pt>
                <c:pt idx="2">
                  <c:v>165</c:v>
                </c:pt>
                <c:pt idx="3">
                  <c:v>192</c:v>
                </c:pt>
                <c:pt idx="4">
                  <c:v>220</c:v>
                </c:pt>
                <c:pt idx="5">
                  <c:v>247</c:v>
                </c:pt>
                <c:pt idx="6">
                  <c:v>274</c:v>
                </c:pt>
                <c:pt idx="7">
                  <c:v>329</c:v>
                </c:pt>
                <c:pt idx="8">
                  <c:v>384</c:v>
                </c:pt>
                <c:pt idx="9">
                  <c:v>438</c:v>
                </c:pt>
                <c:pt idx="10">
                  <c:v>493</c:v>
                </c:pt>
                <c:pt idx="11">
                  <c:v>548</c:v>
                </c:pt>
                <c:pt idx="12">
                  <c:v>603</c:v>
                </c:pt>
                <c:pt idx="13">
                  <c:v>657</c:v>
                </c:pt>
                <c:pt idx="14">
                  <c:v>712</c:v>
                </c:pt>
                <c:pt idx="15">
                  <c:v>767</c:v>
                </c:pt>
                <c:pt idx="16">
                  <c:v>822</c:v>
                </c:pt>
                <c:pt idx="17">
                  <c:v>876</c:v>
                </c:pt>
                <c:pt idx="18">
                  <c:v>931</c:v>
                </c:pt>
                <c:pt idx="19">
                  <c:v>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EB-4445-85A7-C38F1BDD9837}"/>
            </c:ext>
          </c:extLst>
        </c:ser>
        <c:ser>
          <c:idx val="2"/>
          <c:order val="2"/>
          <c:tx>
            <c:strRef>
              <c:f>'BASE-C190'!$D$1</c:f>
              <c:strCache>
                <c:ptCount val="1"/>
                <c:pt idx="0">
                  <c:v>C224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'BASE-C190'!$D$2:$D$21</c:f>
              <c:numCache>
                <c:formatCode>General</c:formatCode>
                <c:ptCount val="20"/>
                <c:pt idx="0">
                  <c:v>167</c:v>
                </c:pt>
                <c:pt idx="1">
                  <c:v>208</c:v>
                </c:pt>
                <c:pt idx="2">
                  <c:v>250</c:v>
                </c:pt>
                <c:pt idx="3">
                  <c:v>292</c:v>
                </c:pt>
                <c:pt idx="4">
                  <c:v>333</c:v>
                </c:pt>
                <c:pt idx="5">
                  <c:v>375</c:v>
                </c:pt>
                <c:pt idx="6">
                  <c:v>416</c:v>
                </c:pt>
                <c:pt idx="7">
                  <c:v>499</c:v>
                </c:pt>
                <c:pt idx="8">
                  <c:v>582</c:v>
                </c:pt>
                <c:pt idx="9">
                  <c:v>665</c:v>
                </c:pt>
                <c:pt idx="10">
                  <c:v>749</c:v>
                </c:pt>
                <c:pt idx="11">
                  <c:v>831</c:v>
                </c:pt>
                <c:pt idx="12">
                  <c:v>915</c:v>
                </c:pt>
                <c:pt idx="13">
                  <c:v>998</c:v>
                </c:pt>
                <c:pt idx="14">
                  <c:v>1080</c:v>
                </c:pt>
                <c:pt idx="15">
                  <c:v>1165</c:v>
                </c:pt>
                <c:pt idx="16">
                  <c:v>1247</c:v>
                </c:pt>
                <c:pt idx="17">
                  <c:v>1330</c:v>
                </c:pt>
                <c:pt idx="18">
                  <c:v>1414</c:v>
                </c:pt>
                <c:pt idx="19">
                  <c:v>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EB-4445-85A7-C38F1BDD9837}"/>
            </c:ext>
          </c:extLst>
        </c:ser>
        <c:ser>
          <c:idx val="3"/>
          <c:order val="3"/>
          <c:tx>
            <c:strRef>
              <c:f>'BASE-C190'!$E$1</c:f>
              <c:strCache>
                <c:ptCount val="1"/>
                <c:pt idx="0">
                  <c:v>C240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'BASE-C190'!$E$2:$E$21</c:f>
              <c:numCache>
                <c:formatCode>General</c:formatCode>
                <c:ptCount val="20"/>
                <c:pt idx="0">
                  <c:v>176</c:v>
                </c:pt>
                <c:pt idx="1">
                  <c:v>221</c:v>
                </c:pt>
                <c:pt idx="2">
                  <c:v>265</c:v>
                </c:pt>
                <c:pt idx="3">
                  <c:v>309</c:v>
                </c:pt>
                <c:pt idx="4">
                  <c:v>353</c:v>
                </c:pt>
                <c:pt idx="5">
                  <c:v>397</c:v>
                </c:pt>
                <c:pt idx="6">
                  <c:v>440</c:v>
                </c:pt>
                <c:pt idx="7">
                  <c:v>528</c:v>
                </c:pt>
                <c:pt idx="8">
                  <c:v>617</c:v>
                </c:pt>
                <c:pt idx="9">
                  <c:v>704</c:v>
                </c:pt>
                <c:pt idx="10">
                  <c:v>793</c:v>
                </c:pt>
                <c:pt idx="11">
                  <c:v>880</c:v>
                </c:pt>
                <c:pt idx="12">
                  <c:v>968</c:v>
                </c:pt>
                <c:pt idx="13">
                  <c:v>1057</c:v>
                </c:pt>
                <c:pt idx="14">
                  <c:v>1144</c:v>
                </c:pt>
                <c:pt idx="15">
                  <c:v>1233</c:v>
                </c:pt>
                <c:pt idx="16">
                  <c:v>1320</c:v>
                </c:pt>
                <c:pt idx="17">
                  <c:v>1409</c:v>
                </c:pt>
                <c:pt idx="18">
                  <c:v>1497</c:v>
                </c:pt>
                <c:pt idx="19">
                  <c:v>1585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EB-4445-85A7-C38F1BDD9837}"/>
            </c:ext>
          </c:extLst>
        </c:ser>
        <c:ser>
          <c:idx val="4"/>
          <c:order val="4"/>
          <c:tx>
            <c:strRef>
              <c:f>'BASE-C190'!$F$1</c:f>
              <c:strCache>
                <c:ptCount val="1"/>
                <c:pt idx="0">
                  <c:v>C272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'BASE-C190'!$F$2:$F$21</c:f>
              <c:numCache>
                <c:formatCode>General</c:formatCode>
                <c:ptCount val="20"/>
                <c:pt idx="0">
                  <c:v>215</c:v>
                </c:pt>
                <c:pt idx="1">
                  <c:v>269</c:v>
                </c:pt>
                <c:pt idx="2">
                  <c:v>322</c:v>
                </c:pt>
                <c:pt idx="3">
                  <c:v>376</c:v>
                </c:pt>
                <c:pt idx="4">
                  <c:v>429</c:v>
                </c:pt>
                <c:pt idx="5">
                  <c:v>483</c:v>
                </c:pt>
                <c:pt idx="6">
                  <c:v>536</c:v>
                </c:pt>
                <c:pt idx="7">
                  <c:v>644</c:v>
                </c:pt>
                <c:pt idx="8">
                  <c:v>751</c:v>
                </c:pt>
                <c:pt idx="9">
                  <c:v>858</c:v>
                </c:pt>
                <c:pt idx="10">
                  <c:v>966</c:v>
                </c:pt>
                <c:pt idx="11">
                  <c:v>1072</c:v>
                </c:pt>
                <c:pt idx="12">
                  <c:v>1180</c:v>
                </c:pt>
                <c:pt idx="13">
                  <c:v>1288</c:v>
                </c:pt>
                <c:pt idx="14">
                  <c:v>1394</c:v>
                </c:pt>
                <c:pt idx="15">
                  <c:v>1502</c:v>
                </c:pt>
                <c:pt idx="16">
                  <c:v>1609</c:v>
                </c:pt>
                <c:pt idx="17">
                  <c:v>1717</c:v>
                </c:pt>
                <c:pt idx="18">
                  <c:v>1824</c:v>
                </c:pt>
                <c:pt idx="19">
                  <c:v>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EB-4445-85A7-C38F1BDD9837}"/>
            </c:ext>
          </c:extLst>
        </c:ser>
        <c:ser>
          <c:idx val="5"/>
          <c:order val="5"/>
          <c:tx>
            <c:strRef>
              <c:f>'BASE-C190'!$G$1</c:f>
              <c:strCache>
                <c:ptCount val="1"/>
                <c:pt idx="0">
                  <c:v>C304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'BASE-C190'!$G$2:$G$21</c:f>
              <c:numCache>
                <c:formatCode>General</c:formatCode>
                <c:ptCount val="20"/>
                <c:pt idx="0">
                  <c:v>229</c:v>
                </c:pt>
                <c:pt idx="1">
                  <c:v>286</c:v>
                </c:pt>
                <c:pt idx="2">
                  <c:v>342</c:v>
                </c:pt>
                <c:pt idx="3">
                  <c:v>399</c:v>
                </c:pt>
                <c:pt idx="4">
                  <c:v>456</c:v>
                </c:pt>
                <c:pt idx="5">
                  <c:v>513</c:v>
                </c:pt>
                <c:pt idx="6">
                  <c:v>569</c:v>
                </c:pt>
                <c:pt idx="7">
                  <c:v>684</c:v>
                </c:pt>
                <c:pt idx="8">
                  <c:v>797</c:v>
                </c:pt>
                <c:pt idx="9">
                  <c:v>911</c:v>
                </c:pt>
                <c:pt idx="10">
                  <c:v>1025</c:v>
                </c:pt>
                <c:pt idx="11">
                  <c:v>1139</c:v>
                </c:pt>
                <c:pt idx="12">
                  <c:v>1253</c:v>
                </c:pt>
                <c:pt idx="13">
                  <c:v>1367</c:v>
                </c:pt>
                <c:pt idx="14">
                  <c:v>1480</c:v>
                </c:pt>
                <c:pt idx="15">
                  <c:v>1594</c:v>
                </c:pt>
                <c:pt idx="16">
                  <c:v>1709</c:v>
                </c:pt>
                <c:pt idx="17">
                  <c:v>1823</c:v>
                </c:pt>
                <c:pt idx="18">
                  <c:v>1937</c:v>
                </c:pt>
                <c:pt idx="19">
                  <c:v>2050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EB-4445-85A7-C38F1BDD9837}"/>
            </c:ext>
          </c:extLst>
        </c:ser>
        <c:ser>
          <c:idx val="6"/>
          <c:order val="6"/>
          <c:tx>
            <c:strRef>
              <c:f>'BASE-C190'!$H$1</c:f>
              <c:strCache>
                <c:ptCount val="1"/>
                <c:pt idx="0">
                  <c:v>C336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'BASE-C190'!$H$2:$H$21</c:f>
              <c:numCache>
                <c:formatCode>General</c:formatCode>
                <c:ptCount val="20"/>
                <c:pt idx="0">
                  <c:v>266</c:v>
                </c:pt>
                <c:pt idx="1">
                  <c:v>332</c:v>
                </c:pt>
                <c:pt idx="2">
                  <c:v>399</c:v>
                </c:pt>
                <c:pt idx="3">
                  <c:v>465</c:v>
                </c:pt>
                <c:pt idx="4">
                  <c:v>531</c:v>
                </c:pt>
                <c:pt idx="5">
                  <c:v>598</c:v>
                </c:pt>
                <c:pt idx="6">
                  <c:v>664</c:v>
                </c:pt>
                <c:pt idx="7">
                  <c:v>796</c:v>
                </c:pt>
                <c:pt idx="8">
                  <c:v>929</c:v>
                </c:pt>
                <c:pt idx="9">
                  <c:v>1062</c:v>
                </c:pt>
                <c:pt idx="10">
                  <c:v>1195</c:v>
                </c:pt>
                <c:pt idx="11">
                  <c:v>1328</c:v>
                </c:pt>
                <c:pt idx="12">
                  <c:v>1461</c:v>
                </c:pt>
                <c:pt idx="13">
                  <c:v>1593</c:v>
                </c:pt>
                <c:pt idx="14">
                  <c:v>1726</c:v>
                </c:pt>
                <c:pt idx="15">
                  <c:v>1859</c:v>
                </c:pt>
                <c:pt idx="16">
                  <c:v>1991</c:v>
                </c:pt>
                <c:pt idx="17">
                  <c:v>2124</c:v>
                </c:pt>
                <c:pt idx="18">
                  <c:v>2257</c:v>
                </c:pt>
                <c:pt idx="19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EB-4445-85A7-C38F1BDD9837}"/>
            </c:ext>
          </c:extLst>
        </c:ser>
        <c:ser>
          <c:idx val="7"/>
          <c:order val="7"/>
          <c:tx>
            <c:strRef>
              <c:f>'BASE-C190'!$I$1</c:f>
              <c:strCache>
                <c:ptCount val="1"/>
                <c:pt idx="0">
                  <c:v>C368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'BASE-C190'!$I$2:$I$21</c:f>
              <c:numCache>
                <c:formatCode>General</c:formatCode>
                <c:ptCount val="20"/>
                <c:pt idx="0">
                  <c:v>306</c:v>
                </c:pt>
                <c:pt idx="1">
                  <c:v>382</c:v>
                </c:pt>
                <c:pt idx="2">
                  <c:v>459</c:v>
                </c:pt>
                <c:pt idx="3">
                  <c:v>535</c:v>
                </c:pt>
                <c:pt idx="4">
                  <c:v>612</c:v>
                </c:pt>
                <c:pt idx="5">
                  <c:v>688</c:v>
                </c:pt>
                <c:pt idx="6">
                  <c:v>764</c:v>
                </c:pt>
                <c:pt idx="7">
                  <c:v>916</c:v>
                </c:pt>
                <c:pt idx="8">
                  <c:v>1069</c:v>
                </c:pt>
                <c:pt idx="9">
                  <c:v>1222</c:v>
                </c:pt>
                <c:pt idx="10">
                  <c:v>1375</c:v>
                </c:pt>
                <c:pt idx="11">
                  <c:v>1528</c:v>
                </c:pt>
                <c:pt idx="12">
                  <c:v>1681</c:v>
                </c:pt>
                <c:pt idx="13">
                  <c:v>1833</c:v>
                </c:pt>
                <c:pt idx="14">
                  <c:v>1987</c:v>
                </c:pt>
                <c:pt idx="15">
                  <c:v>2139</c:v>
                </c:pt>
                <c:pt idx="16">
                  <c:v>2292</c:v>
                </c:pt>
                <c:pt idx="17">
                  <c:v>2444</c:v>
                </c:pt>
                <c:pt idx="18">
                  <c:v>2597</c:v>
                </c:pt>
                <c:pt idx="19">
                  <c:v>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EB-4445-85A7-C38F1BDD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41216"/>
        <c:axId val="110843008"/>
      </c:lineChart>
      <c:catAx>
        <c:axId val="1108412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843008"/>
        <c:crosses val="autoZero"/>
        <c:auto val="1"/>
        <c:lblAlgn val="ctr"/>
        <c:lblOffset val="100"/>
        <c:noMultiLvlLbl val="0"/>
      </c:catAx>
      <c:valAx>
        <c:axId val="11084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84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EXTRA!$C$2</c:f>
              <c:strCache>
                <c:ptCount val="1"/>
                <c:pt idx="0">
                  <c:v>QK100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EXTRA!$A$3:$A$7</c:f>
              <c:numCache>
                <c:formatCode>General</c:formatCode>
                <c:ptCount val="5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</c:numCache>
            </c:numRef>
          </c:xVal>
          <c:yVal>
            <c:numRef>
              <c:f>EXTRA!$C$3:$C$7</c:f>
              <c:numCache>
                <c:formatCode>General</c:formatCode>
                <c:ptCount val="5"/>
                <c:pt idx="1">
                  <c:v>318</c:v>
                </c:pt>
                <c:pt idx="2">
                  <c:v>371</c:v>
                </c:pt>
                <c:pt idx="3">
                  <c:v>421</c:v>
                </c:pt>
                <c:pt idx="4">
                  <c:v>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84-4FD9-BE23-DA56A78785BA}"/>
            </c:ext>
          </c:extLst>
        </c:ser>
        <c:ser>
          <c:idx val="1"/>
          <c:order val="1"/>
          <c:tx>
            <c:strRef>
              <c:f>EXTRA!$D$2</c:f>
              <c:strCache>
                <c:ptCount val="1"/>
                <c:pt idx="0">
                  <c:v>QK80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EXTRA!$A$3:$A$7</c:f>
              <c:numCache>
                <c:formatCode>General</c:formatCode>
                <c:ptCount val="5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</c:numCache>
            </c:numRef>
          </c:xVal>
          <c:yVal>
            <c:numRef>
              <c:f>EXTRA!$D$3:$D$7</c:f>
              <c:numCache>
                <c:formatCode>General</c:formatCode>
                <c:ptCount val="5"/>
                <c:pt idx="1">
                  <c:v>295</c:v>
                </c:pt>
                <c:pt idx="2">
                  <c:v>342</c:v>
                </c:pt>
                <c:pt idx="3">
                  <c:v>385</c:v>
                </c:pt>
                <c:pt idx="4">
                  <c:v>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84-4FD9-BE23-DA56A78785BA}"/>
            </c:ext>
          </c:extLst>
        </c:ser>
        <c:ser>
          <c:idx val="2"/>
          <c:order val="2"/>
          <c:tx>
            <c:strRef>
              <c:f>EXTRA!$E$2</c:f>
              <c:strCache>
                <c:ptCount val="1"/>
                <c:pt idx="0">
                  <c:v>QK60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EXTRA!$A$3:$A$7</c:f>
              <c:numCache>
                <c:formatCode>General</c:formatCode>
                <c:ptCount val="5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</c:numCache>
            </c:numRef>
          </c:xVal>
          <c:yVal>
            <c:numRef>
              <c:f>EXTRA!$E$3:$E$7</c:f>
              <c:numCache>
                <c:formatCode>General</c:formatCode>
                <c:ptCount val="5"/>
                <c:pt idx="1">
                  <c:v>254</c:v>
                </c:pt>
                <c:pt idx="2">
                  <c:v>291</c:v>
                </c:pt>
                <c:pt idx="3">
                  <c:v>328</c:v>
                </c:pt>
                <c:pt idx="4">
                  <c:v>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84-4FD9-BE23-DA56A78785BA}"/>
            </c:ext>
          </c:extLst>
        </c:ser>
        <c:ser>
          <c:idx val="3"/>
          <c:order val="3"/>
          <c:tx>
            <c:strRef>
              <c:f>EXTRA!$F$2</c:f>
              <c:strCache>
                <c:ptCount val="1"/>
                <c:pt idx="0">
                  <c:v>QK50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EXTRA!$A$3:$A$7</c:f>
              <c:numCache>
                <c:formatCode>General</c:formatCode>
                <c:ptCount val="5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</c:numCache>
            </c:numRef>
          </c:xVal>
          <c:yVal>
            <c:numRef>
              <c:f>EXTRA!$F$3:$F$7</c:f>
              <c:numCache>
                <c:formatCode>General</c:formatCode>
                <c:ptCount val="5"/>
                <c:pt idx="1">
                  <c:v>224</c:v>
                </c:pt>
                <c:pt idx="2">
                  <c:v>255</c:v>
                </c:pt>
                <c:pt idx="3">
                  <c:v>286</c:v>
                </c:pt>
                <c:pt idx="4">
                  <c:v>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84-4FD9-BE23-DA56A78785BA}"/>
            </c:ext>
          </c:extLst>
        </c:ser>
        <c:ser>
          <c:idx val="4"/>
          <c:order val="4"/>
          <c:tx>
            <c:strRef>
              <c:f>EXTRA!$G$2</c:f>
              <c:strCache>
                <c:ptCount val="1"/>
                <c:pt idx="0">
                  <c:v>QK40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EXTRA!$A$3:$A$7</c:f>
              <c:numCache>
                <c:formatCode>General</c:formatCode>
                <c:ptCount val="5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</c:numCache>
            </c:numRef>
          </c:xVal>
          <c:yVal>
            <c:numRef>
              <c:f>EXTRA!$G$3:$G$7</c:f>
              <c:numCache>
                <c:formatCode>General</c:formatCode>
                <c:ptCount val="5"/>
                <c:pt idx="1">
                  <c:v>193</c:v>
                </c:pt>
                <c:pt idx="2">
                  <c:v>219</c:v>
                </c:pt>
                <c:pt idx="3">
                  <c:v>243</c:v>
                </c:pt>
                <c:pt idx="4">
                  <c:v>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84-4FD9-BE23-DA56A78785BA}"/>
            </c:ext>
          </c:extLst>
        </c:ser>
        <c:ser>
          <c:idx val="5"/>
          <c:order val="5"/>
          <c:tx>
            <c:strRef>
              <c:f>EXTRA!$H$2</c:f>
              <c:strCache>
                <c:ptCount val="1"/>
                <c:pt idx="0">
                  <c:v>QK30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EXTRA!$A$3:$A$7</c:f>
              <c:numCache>
                <c:formatCode>General</c:formatCode>
                <c:ptCount val="5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</c:numCache>
            </c:numRef>
          </c:xVal>
          <c:yVal>
            <c:numRef>
              <c:f>EXTRA!$H$3:$H$7</c:f>
              <c:numCache>
                <c:formatCode>General</c:formatCode>
                <c:ptCount val="5"/>
                <c:pt idx="1">
                  <c:v>136</c:v>
                </c:pt>
                <c:pt idx="2">
                  <c:v>153</c:v>
                </c:pt>
                <c:pt idx="3">
                  <c:v>170</c:v>
                </c:pt>
                <c:pt idx="4">
                  <c:v>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84-4FD9-BE23-DA56A78785BA}"/>
            </c:ext>
          </c:extLst>
        </c:ser>
        <c:ser>
          <c:idx val="6"/>
          <c:order val="6"/>
          <c:tx>
            <c:strRef>
              <c:f>EXTRA!$I$2</c:f>
              <c:strCache>
                <c:ptCount val="1"/>
                <c:pt idx="0">
                  <c:v>QK20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EXTRA!$A$3:$A$7</c:f>
              <c:numCache>
                <c:formatCode>General</c:formatCode>
                <c:ptCount val="5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</c:numCache>
            </c:numRef>
          </c:xVal>
          <c:yVal>
            <c:numRef>
              <c:f>EXTRA!$I$3:$I$7</c:f>
              <c:numCache>
                <c:formatCode>General</c:formatCode>
                <c:ptCount val="5"/>
                <c:pt idx="1">
                  <c:v>78</c:v>
                </c:pt>
                <c:pt idx="2">
                  <c:v>87</c:v>
                </c:pt>
                <c:pt idx="3">
                  <c:v>96</c:v>
                </c:pt>
                <c:pt idx="4">
                  <c:v>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84-4FD9-BE23-DA56A7878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8384"/>
        <c:axId val="60369920"/>
      </c:scatterChart>
      <c:valAx>
        <c:axId val="60368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0369920"/>
        <c:crosses val="autoZero"/>
        <c:crossBetween val="midCat"/>
      </c:valAx>
      <c:valAx>
        <c:axId val="6036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0368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 horizontalDpi="-3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Qs 17-20-xC°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TEST!$B$1</c:f>
              <c:strCache>
                <c:ptCount val="1"/>
                <c:pt idx="0">
                  <c:v>QK100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TEST!$A$2:$A$7</c:f>
              <c:numCache>
                <c:formatCode>General</c:formatCode>
                <c:ptCount val="6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</c:numCache>
            </c:numRef>
          </c:xVal>
          <c:yVal>
            <c:numRef>
              <c:f>TEST!$B$2:$B$7</c:f>
              <c:numCache>
                <c:formatCode>General</c:formatCode>
                <c:ptCount val="6"/>
                <c:pt idx="0">
                  <c:v>484</c:v>
                </c:pt>
                <c:pt idx="1">
                  <c:v>415</c:v>
                </c:pt>
                <c:pt idx="2">
                  <c:v>340</c:v>
                </c:pt>
                <c:pt idx="3">
                  <c:v>255</c:v>
                </c:pt>
                <c:pt idx="4">
                  <c:v>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BB-46F9-A4BF-00950CD5C48A}"/>
            </c:ext>
          </c:extLst>
        </c:ser>
        <c:ser>
          <c:idx val="1"/>
          <c:order val="1"/>
          <c:tx>
            <c:strRef>
              <c:f>TEST!$C$1</c:f>
              <c:strCache>
                <c:ptCount val="1"/>
                <c:pt idx="0">
                  <c:v>QK80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TEST!$A$2:$A$7</c:f>
              <c:numCache>
                <c:formatCode>General</c:formatCode>
                <c:ptCount val="6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</c:numCache>
            </c:numRef>
          </c:xVal>
          <c:yVal>
            <c:numRef>
              <c:f>TEST!$C$2:$C$7</c:f>
              <c:numCache>
                <c:formatCode>General</c:formatCode>
                <c:ptCount val="6"/>
                <c:pt idx="0">
                  <c:v>436</c:v>
                </c:pt>
                <c:pt idx="1">
                  <c:v>376</c:v>
                </c:pt>
                <c:pt idx="2">
                  <c:v>305</c:v>
                </c:pt>
                <c:pt idx="3">
                  <c:v>225</c:v>
                </c:pt>
                <c:pt idx="4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BB-46F9-A4BF-00950CD5C48A}"/>
            </c:ext>
          </c:extLst>
        </c:ser>
        <c:ser>
          <c:idx val="2"/>
          <c:order val="2"/>
          <c:tx>
            <c:strRef>
              <c:f>TEST!$D$1</c:f>
              <c:strCache>
                <c:ptCount val="1"/>
                <c:pt idx="0">
                  <c:v>QK60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TEST!$A$2:$A$7</c:f>
              <c:numCache>
                <c:formatCode>General</c:formatCode>
                <c:ptCount val="6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</c:numCache>
            </c:numRef>
          </c:xVal>
          <c:yVal>
            <c:numRef>
              <c:f>TEST!$D$2:$D$7</c:f>
              <c:numCache>
                <c:formatCode>General</c:formatCode>
                <c:ptCount val="6"/>
                <c:pt idx="0">
                  <c:v>364</c:v>
                </c:pt>
                <c:pt idx="1">
                  <c:v>316</c:v>
                </c:pt>
                <c:pt idx="2">
                  <c:v>260</c:v>
                </c:pt>
                <c:pt idx="3">
                  <c:v>185</c:v>
                </c:pt>
                <c:pt idx="4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BB-46F9-A4BF-00950CD5C48A}"/>
            </c:ext>
          </c:extLst>
        </c:ser>
        <c:ser>
          <c:idx val="3"/>
          <c:order val="3"/>
          <c:tx>
            <c:strRef>
              <c:f>TEST!$E$1</c:f>
              <c:strCache>
                <c:ptCount val="1"/>
                <c:pt idx="0">
                  <c:v>QK50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TEST!$A$2:$A$7</c:f>
              <c:numCache>
                <c:formatCode>General</c:formatCode>
                <c:ptCount val="6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</c:numCache>
            </c:numRef>
          </c:xVal>
          <c:yVal>
            <c:numRef>
              <c:f>TEST!$E$2:$E$7</c:f>
              <c:numCache>
                <c:formatCode>General</c:formatCode>
                <c:ptCount val="6"/>
                <c:pt idx="0">
                  <c:v>314</c:v>
                </c:pt>
                <c:pt idx="1">
                  <c:v>274</c:v>
                </c:pt>
                <c:pt idx="2">
                  <c:v>220</c:v>
                </c:pt>
                <c:pt idx="3">
                  <c:v>150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BB-46F9-A4BF-00950CD5C48A}"/>
            </c:ext>
          </c:extLst>
        </c:ser>
        <c:ser>
          <c:idx val="4"/>
          <c:order val="4"/>
          <c:tx>
            <c:strRef>
              <c:f>TEST!$F$1</c:f>
              <c:strCache>
                <c:ptCount val="1"/>
                <c:pt idx="0">
                  <c:v>QK40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TEST!$A$2:$A$7</c:f>
              <c:numCache>
                <c:formatCode>General</c:formatCode>
                <c:ptCount val="6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</c:numCache>
            </c:numRef>
          </c:xVal>
          <c:yVal>
            <c:numRef>
              <c:f>TEST!$F$2:$F$7</c:f>
              <c:numCache>
                <c:formatCode>General</c:formatCode>
                <c:ptCount val="6"/>
                <c:pt idx="0">
                  <c:v>263</c:v>
                </c:pt>
                <c:pt idx="1">
                  <c:v>231</c:v>
                </c:pt>
                <c:pt idx="2">
                  <c:v>181</c:v>
                </c:pt>
                <c:pt idx="3">
                  <c:v>115</c:v>
                </c:pt>
                <c:pt idx="4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BB-46F9-A4BF-00950CD5C48A}"/>
            </c:ext>
          </c:extLst>
        </c:ser>
        <c:ser>
          <c:idx val="5"/>
          <c:order val="5"/>
          <c:tx>
            <c:strRef>
              <c:f>TEST!$G$1</c:f>
              <c:strCache>
                <c:ptCount val="1"/>
                <c:pt idx="0">
                  <c:v>QK30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TEST!$A$2:$A$7</c:f>
              <c:numCache>
                <c:formatCode>General</c:formatCode>
                <c:ptCount val="6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</c:numCache>
            </c:numRef>
          </c:xVal>
          <c:yVal>
            <c:numRef>
              <c:f>TEST!$G$2:$G$7</c:f>
              <c:numCache>
                <c:formatCode>General</c:formatCode>
                <c:ptCount val="6"/>
                <c:pt idx="0">
                  <c:v>181</c:v>
                </c:pt>
                <c:pt idx="1">
                  <c:v>159</c:v>
                </c:pt>
                <c:pt idx="2">
                  <c:v>122</c:v>
                </c:pt>
                <c:pt idx="3">
                  <c:v>70</c:v>
                </c:pt>
                <c:pt idx="4">
                  <c:v>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BB-46F9-A4BF-00950CD5C48A}"/>
            </c:ext>
          </c:extLst>
        </c:ser>
        <c:ser>
          <c:idx val="6"/>
          <c:order val="6"/>
          <c:tx>
            <c:strRef>
              <c:f>TEST!$H$1</c:f>
              <c:strCache>
                <c:ptCount val="1"/>
                <c:pt idx="0">
                  <c:v>QK20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TEST!$A$2:$A$7</c:f>
              <c:numCache>
                <c:formatCode>General</c:formatCode>
                <c:ptCount val="6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</c:numCache>
            </c:numRef>
          </c:xVal>
          <c:yVal>
            <c:numRef>
              <c:f>TEST!$H$2:$H$7</c:f>
              <c:numCache>
                <c:formatCode>General</c:formatCode>
                <c:ptCount val="6"/>
                <c:pt idx="0">
                  <c:v>98</c:v>
                </c:pt>
                <c:pt idx="1">
                  <c:v>87</c:v>
                </c:pt>
                <c:pt idx="2">
                  <c:v>65</c:v>
                </c:pt>
                <c:pt idx="3">
                  <c:v>33</c:v>
                </c:pt>
                <c:pt idx="4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EBB-46F9-A4BF-00950CD5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074816"/>
        <c:axId val="100648064"/>
      </c:scatterChart>
      <c:valAx>
        <c:axId val="61074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0648064"/>
        <c:crosses val="autoZero"/>
        <c:crossBetween val="midCat"/>
      </c:valAx>
      <c:valAx>
        <c:axId val="10064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074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'BASE-C120POWER'!$B$1</c:f>
              <c:strCache>
                <c:ptCount val="1"/>
                <c:pt idx="0">
                  <c:v>C144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'BASE-C120POWER'!$A$2:$A$21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'BASE-C120POWER'!$B$2:$B$21</c:f>
              <c:numCache>
                <c:formatCode>General</c:formatCode>
                <c:ptCount val="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85-4A6F-8DA5-A44F339A0F0B}"/>
            </c:ext>
          </c:extLst>
        </c:ser>
        <c:ser>
          <c:idx val="1"/>
          <c:order val="1"/>
          <c:tx>
            <c:strRef>
              <c:f>'BASE-C120POWER'!$C$1</c:f>
              <c:strCache>
                <c:ptCount val="1"/>
                <c:pt idx="0">
                  <c:v>LIB 176-120 POWER+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'BASE-C120POWER'!$A$2:$A$21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'BASE-C120POWER'!$C$2:$C$21</c:f>
              <c:numCache>
                <c:formatCode>General</c:formatCode>
                <c:ptCount val="20"/>
                <c:pt idx="0">
                  <c:v>122</c:v>
                </c:pt>
                <c:pt idx="1">
                  <c:v>152</c:v>
                </c:pt>
                <c:pt idx="2">
                  <c:v>183</c:v>
                </c:pt>
                <c:pt idx="3">
                  <c:v>213</c:v>
                </c:pt>
                <c:pt idx="4">
                  <c:v>243</c:v>
                </c:pt>
                <c:pt idx="5">
                  <c:v>274</c:v>
                </c:pt>
                <c:pt idx="6">
                  <c:v>304</c:v>
                </c:pt>
                <c:pt idx="7">
                  <c:v>365</c:v>
                </c:pt>
                <c:pt idx="8">
                  <c:v>426</c:v>
                </c:pt>
                <c:pt idx="9">
                  <c:v>487</c:v>
                </c:pt>
                <c:pt idx="10">
                  <c:v>547</c:v>
                </c:pt>
                <c:pt idx="11">
                  <c:v>608</c:v>
                </c:pt>
                <c:pt idx="12">
                  <c:v>670</c:v>
                </c:pt>
                <c:pt idx="13">
                  <c:v>730</c:v>
                </c:pt>
                <c:pt idx="14">
                  <c:v>791</c:v>
                </c:pt>
                <c:pt idx="15">
                  <c:v>851</c:v>
                </c:pt>
                <c:pt idx="16">
                  <c:v>913</c:v>
                </c:pt>
                <c:pt idx="17">
                  <c:v>974</c:v>
                </c:pt>
                <c:pt idx="18">
                  <c:v>1034</c:v>
                </c:pt>
                <c:pt idx="19">
                  <c:v>1095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85-4A6F-8DA5-A44F339A0F0B}"/>
            </c:ext>
          </c:extLst>
        </c:ser>
        <c:ser>
          <c:idx val="2"/>
          <c:order val="2"/>
          <c:tx>
            <c:strRef>
              <c:f>'BASE-C120POWER'!$D$1</c:f>
              <c:strCache>
                <c:ptCount val="1"/>
                <c:pt idx="0">
                  <c:v>LIB 224-120 POWER+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'BASE-C120POWER'!$A$2:$A$21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'BASE-C120POWER'!$D$2:$D$21</c:f>
              <c:numCache>
                <c:formatCode>General</c:formatCode>
                <c:ptCount val="20"/>
                <c:pt idx="0">
                  <c:v>151</c:v>
                </c:pt>
                <c:pt idx="1">
                  <c:v>189</c:v>
                </c:pt>
                <c:pt idx="2">
                  <c:v>226</c:v>
                </c:pt>
                <c:pt idx="3">
                  <c:v>264</c:v>
                </c:pt>
                <c:pt idx="4">
                  <c:v>302</c:v>
                </c:pt>
                <c:pt idx="5">
                  <c:v>339</c:v>
                </c:pt>
                <c:pt idx="6">
                  <c:v>377</c:v>
                </c:pt>
                <c:pt idx="7">
                  <c:v>452</c:v>
                </c:pt>
                <c:pt idx="8">
                  <c:v>528</c:v>
                </c:pt>
                <c:pt idx="9">
                  <c:v>603</c:v>
                </c:pt>
                <c:pt idx="10">
                  <c:v>679</c:v>
                </c:pt>
                <c:pt idx="11">
                  <c:v>754</c:v>
                </c:pt>
                <c:pt idx="12">
                  <c:v>829</c:v>
                </c:pt>
                <c:pt idx="13">
                  <c:v>905</c:v>
                </c:pt>
                <c:pt idx="14">
                  <c:v>980</c:v>
                </c:pt>
                <c:pt idx="15">
                  <c:v>1056</c:v>
                </c:pt>
                <c:pt idx="16">
                  <c:v>1131</c:v>
                </c:pt>
                <c:pt idx="17">
                  <c:v>1207</c:v>
                </c:pt>
                <c:pt idx="18">
                  <c:v>1283</c:v>
                </c:pt>
                <c:pt idx="19">
                  <c:v>1358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85-4A6F-8DA5-A44F339A0F0B}"/>
            </c:ext>
          </c:extLst>
        </c:ser>
        <c:ser>
          <c:idx val="3"/>
          <c:order val="3"/>
          <c:tx>
            <c:strRef>
              <c:f>'BASE-C120POWER'!$E$1</c:f>
              <c:strCache>
                <c:ptCount val="1"/>
                <c:pt idx="0">
                  <c:v>LIB 240-120 POWER+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'BASE-C120POWER'!$A$2:$A$21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'BASE-C120POWER'!$E$2:$E$21</c:f>
              <c:numCache>
                <c:formatCode>General</c:formatCode>
                <c:ptCount val="20"/>
                <c:pt idx="0">
                  <c:v>156</c:v>
                </c:pt>
                <c:pt idx="1">
                  <c:v>195</c:v>
                </c:pt>
                <c:pt idx="2">
                  <c:v>233</c:v>
                </c:pt>
                <c:pt idx="3">
                  <c:v>272</c:v>
                </c:pt>
                <c:pt idx="4">
                  <c:v>312</c:v>
                </c:pt>
                <c:pt idx="5">
                  <c:v>350</c:v>
                </c:pt>
                <c:pt idx="6">
                  <c:v>389</c:v>
                </c:pt>
                <c:pt idx="7">
                  <c:v>466</c:v>
                </c:pt>
                <c:pt idx="8">
                  <c:v>545</c:v>
                </c:pt>
                <c:pt idx="9">
                  <c:v>622</c:v>
                </c:pt>
                <c:pt idx="10">
                  <c:v>701</c:v>
                </c:pt>
                <c:pt idx="11">
                  <c:v>778</c:v>
                </c:pt>
                <c:pt idx="12">
                  <c:v>856</c:v>
                </c:pt>
                <c:pt idx="13">
                  <c:v>934</c:v>
                </c:pt>
                <c:pt idx="14">
                  <c:v>1011</c:v>
                </c:pt>
                <c:pt idx="15">
                  <c:v>1090</c:v>
                </c:pt>
                <c:pt idx="16">
                  <c:v>1167</c:v>
                </c:pt>
                <c:pt idx="17">
                  <c:v>1245</c:v>
                </c:pt>
                <c:pt idx="18">
                  <c:v>1323</c:v>
                </c:pt>
                <c:pt idx="19">
                  <c:v>1400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85-4A6F-8DA5-A44F339A0F0B}"/>
            </c:ext>
          </c:extLst>
        </c:ser>
        <c:ser>
          <c:idx val="4"/>
          <c:order val="4"/>
          <c:tx>
            <c:strRef>
              <c:f>'BASE-C120POWER'!$F$1</c:f>
              <c:strCache>
                <c:ptCount val="1"/>
                <c:pt idx="0">
                  <c:v>LIB 272-120 POWER+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'BASE-C120POWER'!$A$2:$A$21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'BASE-C120POWER'!$F$2:$F$21</c:f>
              <c:numCache>
                <c:formatCode>General</c:formatCode>
                <c:ptCount val="20"/>
                <c:pt idx="0">
                  <c:v>201</c:v>
                </c:pt>
                <c:pt idx="1">
                  <c:v>251</c:v>
                </c:pt>
                <c:pt idx="2">
                  <c:v>301</c:v>
                </c:pt>
                <c:pt idx="3">
                  <c:v>351</c:v>
                </c:pt>
                <c:pt idx="4">
                  <c:v>402</c:v>
                </c:pt>
                <c:pt idx="5">
                  <c:v>452</c:v>
                </c:pt>
                <c:pt idx="6">
                  <c:v>502</c:v>
                </c:pt>
                <c:pt idx="7">
                  <c:v>602</c:v>
                </c:pt>
                <c:pt idx="8">
                  <c:v>703</c:v>
                </c:pt>
                <c:pt idx="9">
                  <c:v>804</c:v>
                </c:pt>
                <c:pt idx="10">
                  <c:v>905</c:v>
                </c:pt>
                <c:pt idx="11">
                  <c:v>1005</c:v>
                </c:pt>
                <c:pt idx="12">
                  <c:v>1105</c:v>
                </c:pt>
                <c:pt idx="13">
                  <c:v>1206</c:v>
                </c:pt>
                <c:pt idx="14">
                  <c:v>1306</c:v>
                </c:pt>
                <c:pt idx="15">
                  <c:v>1407</c:v>
                </c:pt>
                <c:pt idx="16">
                  <c:v>1507</c:v>
                </c:pt>
                <c:pt idx="17">
                  <c:v>1607</c:v>
                </c:pt>
                <c:pt idx="18">
                  <c:v>1708</c:v>
                </c:pt>
                <c:pt idx="19">
                  <c:v>1808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85-4A6F-8DA5-A44F339A0F0B}"/>
            </c:ext>
          </c:extLst>
        </c:ser>
        <c:ser>
          <c:idx val="5"/>
          <c:order val="5"/>
          <c:tx>
            <c:strRef>
              <c:f>'BASE-C120POWER'!$G$1</c:f>
              <c:strCache>
                <c:ptCount val="1"/>
                <c:pt idx="0">
                  <c:v>LIB 304-120 POWER+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'BASE-C120POWER'!$A$2:$A$21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'BASE-C120POWER'!$G$2:$G$21</c:f>
              <c:numCache>
                <c:formatCode>General</c:formatCode>
                <c:ptCount val="20"/>
                <c:pt idx="0">
                  <c:v>214</c:v>
                </c:pt>
                <c:pt idx="1">
                  <c:v>268</c:v>
                </c:pt>
                <c:pt idx="2">
                  <c:v>321</c:v>
                </c:pt>
                <c:pt idx="3">
                  <c:v>374</c:v>
                </c:pt>
                <c:pt idx="4">
                  <c:v>429</c:v>
                </c:pt>
                <c:pt idx="5">
                  <c:v>482</c:v>
                </c:pt>
                <c:pt idx="6">
                  <c:v>535</c:v>
                </c:pt>
                <c:pt idx="7">
                  <c:v>642</c:v>
                </c:pt>
                <c:pt idx="8">
                  <c:v>750</c:v>
                </c:pt>
                <c:pt idx="9">
                  <c:v>857</c:v>
                </c:pt>
                <c:pt idx="10">
                  <c:v>964</c:v>
                </c:pt>
                <c:pt idx="11">
                  <c:v>1071</c:v>
                </c:pt>
                <c:pt idx="12">
                  <c:v>1178</c:v>
                </c:pt>
                <c:pt idx="13">
                  <c:v>1285</c:v>
                </c:pt>
                <c:pt idx="14">
                  <c:v>1392</c:v>
                </c:pt>
                <c:pt idx="15">
                  <c:v>1500</c:v>
                </c:pt>
                <c:pt idx="16">
                  <c:v>1606</c:v>
                </c:pt>
                <c:pt idx="17">
                  <c:v>1713</c:v>
                </c:pt>
                <c:pt idx="18">
                  <c:v>1821</c:v>
                </c:pt>
                <c:pt idx="19">
                  <c:v>1927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85-4A6F-8DA5-A44F339A0F0B}"/>
            </c:ext>
          </c:extLst>
        </c:ser>
        <c:ser>
          <c:idx val="6"/>
          <c:order val="6"/>
          <c:tx>
            <c:strRef>
              <c:f>'BASE-C120POWER'!$H$1</c:f>
              <c:strCache>
                <c:ptCount val="1"/>
                <c:pt idx="0">
                  <c:v>LIB 336-120 POWER+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'BASE-C120POWER'!$A$2:$A$21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'BASE-C120POWER'!$H$2:$H$21</c:f>
              <c:numCache>
                <c:formatCode>General</c:formatCode>
                <c:ptCount val="20"/>
                <c:pt idx="0">
                  <c:v>231</c:v>
                </c:pt>
                <c:pt idx="1">
                  <c:v>288</c:v>
                </c:pt>
                <c:pt idx="2">
                  <c:v>346</c:v>
                </c:pt>
                <c:pt idx="3">
                  <c:v>403</c:v>
                </c:pt>
                <c:pt idx="4">
                  <c:v>462</c:v>
                </c:pt>
                <c:pt idx="5">
                  <c:v>519</c:v>
                </c:pt>
                <c:pt idx="6">
                  <c:v>577</c:v>
                </c:pt>
                <c:pt idx="7">
                  <c:v>692</c:v>
                </c:pt>
                <c:pt idx="8">
                  <c:v>808</c:v>
                </c:pt>
                <c:pt idx="9">
                  <c:v>923</c:v>
                </c:pt>
                <c:pt idx="10">
                  <c:v>1038</c:v>
                </c:pt>
                <c:pt idx="11">
                  <c:v>1153</c:v>
                </c:pt>
                <c:pt idx="12">
                  <c:v>1268</c:v>
                </c:pt>
                <c:pt idx="13">
                  <c:v>1384</c:v>
                </c:pt>
                <c:pt idx="14">
                  <c:v>1499</c:v>
                </c:pt>
                <c:pt idx="15">
                  <c:v>1615</c:v>
                </c:pt>
                <c:pt idx="16">
                  <c:v>1730</c:v>
                </c:pt>
                <c:pt idx="17">
                  <c:v>1845</c:v>
                </c:pt>
                <c:pt idx="18">
                  <c:v>1961</c:v>
                </c:pt>
                <c:pt idx="19">
                  <c:v>2076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A85-4A6F-8DA5-A44F339A0F0B}"/>
            </c:ext>
          </c:extLst>
        </c:ser>
        <c:ser>
          <c:idx val="7"/>
          <c:order val="7"/>
          <c:tx>
            <c:strRef>
              <c:f>'BASE-C120POWER'!$I$1</c:f>
              <c:strCache>
                <c:ptCount val="1"/>
                <c:pt idx="0">
                  <c:v>LIB 368-120 POWER+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'BASE-C120POWER'!$A$2:$A$21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'BASE-C120POWER'!$I$2:$I$21</c:f>
              <c:numCache>
                <c:formatCode>General</c:formatCode>
                <c:ptCount val="20"/>
                <c:pt idx="0">
                  <c:v>265</c:v>
                </c:pt>
                <c:pt idx="1">
                  <c:v>331</c:v>
                </c:pt>
                <c:pt idx="2">
                  <c:v>397</c:v>
                </c:pt>
                <c:pt idx="3">
                  <c:v>463</c:v>
                </c:pt>
                <c:pt idx="4">
                  <c:v>530</c:v>
                </c:pt>
                <c:pt idx="5">
                  <c:v>596</c:v>
                </c:pt>
                <c:pt idx="6">
                  <c:v>662</c:v>
                </c:pt>
                <c:pt idx="7">
                  <c:v>794</c:v>
                </c:pt>
                <c:pt idx="8">
                  <c:v>927</c:v>
                </c:pt>
                <c:pt idx="9">
                  <c:v>1059</c:v>
                </c:pt>
                <c:pt idx="10">
                  <c:v>1192</c:v>
                </c:pt>
                <c:pt idx="11">
                  <c:v>1324</c:v>
                </c:pt>
                <c:pt idx="12">
                  <c:v>1456</c:v>
                </c:pt>
                <c:pt idx="13">
                  <c:v>1589</c:v>
                </c:pt>
                <c:pt idx="14">
                  <c:v>1721</c:v>
                </c:pt>
                <c:pt idx="15">
                  <c:v>1854</c:v>
                </c:pt>
                <c:pt idx="16">
                  <c:v>1986</c:v>
                </c:pt>
                <c:pt idx="17">
                  <c:v>2119</c:v>
                </c:pt>
                <c:pt idx="18">
                  <c:v>2252</c:v>
                </c:pt>
                <c:pt idx="19">
                  <c:v>2384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85-4A6F-8DA5-A44F339A0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31648"/>
        <c:axId val="108733568"/>
      </c:scatterChart>
      <c:valAx>
        <c:axId val="10753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08733568"/>
        <c:crosses val="autoZero"/>
        <c:crossBetween val="midCat"/>
      </c:valAx>
      <c:valAx>
        <c:axId val="10873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53164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'BASE-C120POWER'!$C$1</c:f>
              <c:strCache>
                <c:ptCount val="1"/>
                <c:pt idx="0">
                  <c:v>LIB 176-120 POWER+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'BASE-C120POWER'!$C$2:$C$21</c:f>
              <c:numCache>
                <c:formatCode>General</c:formatCode>
                <c:ptCount val="20"/>
                <c:pt idx="0">
                  <c:v>122</c:v>
                </c:pt>
                <c:pt idx="1">
                  <c:v>152</c:v>
                </c:pt>
                <c:pt idx="2">
                  <c:v>183</c:v>
                </c:pt>
                <c:pt idx="3">
                  <c:v>213</c:v>
                </c:pt>
                <c:pt idx="4">
                  <c:v>243</c:v>
                </c:pt>
                <c:pt idx="5">
                  <c:v>274</c:v>
                </c:pt>
                <c:pt idx="6">
                  <c:v>304</c:v>
                </c:pt>
                <c:pt idx="7">
                  <c:v>365</c:v>
                </c:pt>
                <c:pt idx="8">
                  <c:v>426</c:v>
                </c:pt>
                <c:pt idx="9">
                  <c:v>487</c:v>
                </c:pt>
                <c:pt idx="10">
                  <c:v>547</c:v>
                </c:pt>
                <c:pt idx="11">
                  <c:v>608</c:v>
                </c:pt>
                <c:pt idx="12">
                  <c:v>670</c:v>
                </c:pt>
                <c:pt idx="13">
                  <c:v>730</c:v>
                </c:pt>
                <c:pt idx="14">
                  <c:v>791</c:v>
                </c:pt>
                <c:pt idx="15">
                  <c:v>851</c:v>
                </c:pt>
                <c:pt idx="16">
                  <c:v>913</c:v>
                </c:pt>
                <c:pt idx="17">
                  <c:v>974</c:v>
                </c:pt>
                <c:pt idx="18">
                  <c:v>1034</c:v>
                </c:pt>
                <c:pt idx="19">
                  <c:v>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F-415A-9448-5973B22E9480}"/>
            </c:ext>
          </c:extLst>
        </c:ser>
        <c:ser>
          <c:idx val="1"/>
          <c:order val="1"/>
          <c:tx>
            <c:strRef>
              <c:f>'BASE-C120POWER'!$D$1</c:f>
              <c:strCache>
                <c:ptCount val="1"/>
                <c:pt idx="0">
                  <c:v>LIB 224-120 POWER+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'BASE-C120POWER'!$D$2:$D$21</c:f>
              <c:numCache>
                <c:formatCode>General</c:formatCode>
                <c:ptCount val="20"/>
                <c:pt idx="0">
                  <c:v>151</c:v>
                </c:pt>
                <c:pt idx="1">
                  <c:v>189</c:v>
                </c:pt>
                <c:pt idx="2">
                  <c:v>226</c:v>
                </c:pt>
                <c:pt idx="3">
                  <c:v>264</c:v>
                </c:pt>
                <c:pt idx="4">
                  <c:v>302</c:v>
                </c:pt>
                <c:pt idx="5">
                  <c:v>339</c:v>
                </c:pt>
                <c:pt idx="6">
                  <c:v>377</c:v>
                </c:pt>
                <c:pt idx="7">
                  <c:v>452</c:v>
                </c:pt>
                <c:pt idx="8">
                  <c:v>528</c:v>
                </c:pt>
                <c:pt idx="9">
                  <c:v>603</c:v>
                </c:pt>
                <c:pt idx="10">
                  <c:v>679</c:v>
                </c:pt>
                <c:pt idx="11">
                  <c:v>754</c:v>
                </c:pt>
                <c:pt idx="12">
                  <c:v>829</c:v>
                </c:pt>
                <c:pt idx="13">
                  <c:v>905</c:v>
                </c:pt>
                <c:pt idx="14">
                  <c:v>980</c:v>
                </c:pt>
                <c:pt idx="15">
                  <c:v>1056</c:v>
                </c:pt>
                <c:pt idx="16">
                  <c:v>1131</c:v>
                </c:pt>
                <c:pt idx="17">
                  <c:v>1207</c:v>
                </c:pt>
                <c:pt idx="18">
                  <c:v>1283</c:v>
                </c:pt>
                <c:pt idx="19">
                  <c:v>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F-415A-9448-5973B22E9480}"/>
            </c:ext>
          </c:extLst>
        </c:ser>
        <c:ser>
          <c:idx val="2"/>
          <c:order val="2"/>
          <c:tx>
            <c:strRef>
              <c:f>'BASE-C120POWER'!$E$1</c:f>
              <c:strCache>
                <c:ptCount val="1"/>
                <c:pt idx="0">
                  <c:v>LIB 240-120 POWER+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'BASE-C120POWER'!$E$2:$E$21</c:f>
              <c:numCache>
                <c:formatCode>General</c:formatCode>
                <c:ptCount val="20"/>
                <c:pt idx="0">
                  <c:v>156</c:v>
                </c:pt>
                <c:pt idx="1">
                  <c:v>195</c:v>
                </c:pt>
                <c:pt idx="2">
                  <c:v>233</c:v>
                </c:pt>
                <c:pt idx="3">
                  <c:v>272</c:v>
                </c:pt>
                <c:pt idx="4">
                  <c:v>312</c:v>
                </c:pt>
                <c:pt idx="5">
                  <c:v>350</c:v>
                </c:pt>
                <c:pt idx="6">
                  <c:v>389</c:v>
                </c:pt>
                <c:pt idx="7">
                  <c:v>466</c:v>
                </c:pt>
                <c:pt idx="8">
                  <c:v>545</c:v>
                </c:pt>
                <c:pt idx="9">
                  <c:v>622</c:v>
                </c:pt>
                <c:pt idx="10">
                  <c:v>701</c:v>
                </c:pt>
                <c:pt idx="11">
                  <c:v>778</c:v>
                </c:pt>
                <c:pt idx="12">
                  <c:v>856</c:v>
                </c:pt>
                <c:pt idx="13">
                  <c:v>934</c:v>
                </c:pt>
                <c:pt idx="14">
                  <c:v>1011</c:v>
                </c:pt>
                <c:pt idx="15">
                  <c:v>1090</c:v>
                </c:pt>
                <c:pt idx="16">
                  <c:v>1167</c:v>
                </c:pt>
                <c:pt idx="17">
                  <c:v>1245</c:v>
                </c:pt>
                <c:pt idx="18">
                  <c:v>1323</c:v>
                </c:pt>
                <c:pt idx="19">
                  <c:v>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F-415A-9448-5973B22E9480}"/>
            </c:ext>
          </c:extLst>
        </c:ser>
        <c:ser>
          <c:idx val="3"/>
          <c:order val="3"/>
          <c:tx>
            <c:strRef>
              <c:f>'BASE-C120POWER'!$F$1</c:f>
              <c:strCache>
                <c:ptCount val="1"/>
                <c:pt idx="0">
                  <c:v>LIB 272-120 POWER+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'BASE-C120POWER'!$F$2:$F$21</c:f>
              <c:numCache>
                <c:formatCode>General</c:formatCode>
                <c:ptCount val="20"/>
                <c:pt idx="0">
                  <c:v>201</c:v>
                </c:pt>
                <c:pt idx="1">
                  <c:v>251</c:v>
                </c:pt>
                <c:pt idx="2">
                  <c:v>301</c:v>
                </c:pt>
                <c:pt idx="3">
                  <c:v>351</c:v>
                </c:pt>
                <c:pt idx="4">
                  <c:v>402</c:v>
                </c:pt>
                <c:pt idx="5">
                  <c:v>452</c:v>
                </c:pt>
                <c:pt idx="6">
                  <c:v>502</c:v>
                </c:pt>
                <c:pt idx="7">
                  <c:v>602</c:v>
                </c:pt>
                <c:pt idx="8">
                  <c:v>703</c:v>
                </c:pt>
                <c:pt idx="9">
                  <c:v>804</c:v>
                </c:pt>
                <c:pt idx="10">
                  <c:v>905</c:v>
                </c:pt>
                <c:pt idx="11">
                  <c:v>1005</c:v>
                </c:pt>
                <c:pt idx="12">
                  <c:v>1105</c:v>
                </c:pt>
                <c:pt idx="13">
                  <c:v>1206</c:v>
                </c:pt>
                <c:pt idx="14">
                  <c:v>1306</c:v>
                </c:pt>
                <c:pt idx="15">
                  <c:v>1407</c:v>
                </c:pt>
                <c:pt idx="16">
                  <c:v>1507</c:v>
                </c:pt>
                <c:pt idx="17">
                  <c:v>1607</c:v>
                </c:pt>
                <c:pt idx="18">
                  <c:v>1708</c:v>
                </c:pt>
                <c:pt idx="19">
                  <c:v>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F-415A-9448-5973B22E9480}"/>
            </c:ext>
          </c:extLst>
        </c:ser>
        <c:ser>
          <c:idx val="4"/>
          <c:order val="4"/>
          <c:tx>
            <c:strRef>
              <c:f>'BASE-C120POWER'!$G$1</c:f>
              <c:strCache>
                <c:ptCount val="1"/>
                <c:pt idx="0">
                  <c:v>LIB 304-120 POWER+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'BASE-C120POWER'!$G$2:$G$21</c:f>
              <c:numCache>
                <c:formatCode>General</c:formatCode>
                <c:ptCount val="20"/>
                <c:pt idx="0">
                  <c:v>214</c:v>
                </c:pt>
                <c:pt idx="1">
                  <c:v>268</c:v>
                </c:pt>
                <c:pt idx="2">
                  <c:v>321</c:v>
                </c:pt>
                <c:pt idx="3">
                  <c:v>374</c:v>
                </c:pt>
                <c:pt idx="4">
                  <c:v>429</c:v>
                </c:pt>
                <c:pt idx="5">
                  <c:v>482</c:v>
                </c:pt>
                <c:pt idx="6">
                  <c:v>535</c:v>
                </c:pt>
                <c:pt idx="7">
                  <c:v>642</c:v>
                </c:pt>
                <c:pt idx="8">
                  <c:v>750</c:v>
                </c:pt>
                <c:pt idx="9">
                  <c:v>857</c:v>
                </c:pt>
                <c:pt idx="10">
                  <c:v>964</c:v>
                </c:pt>
                <c:pt idx="11">
                  <c:v>1071</c:v>
                </c:pt>
                <c:pt idx="12">
                  <c:v>1178</c:v>
                </c:pt>
                <c:pt idx="13">
                  <c:v>1285</c:v>
                </c:pt>
                <c:pt idx="14">
                  <c:v>1392</c:v>
                </c:pt>
                <c:pt idx="15">
                  <c:v>1500</c:v>
                </c:pt>
                <c:pt idx="16">
                  <c:v>1606</c:v>
                </c:pt>
                <c:pt idx="17">
                  <c:v>1713</c:v>
                </c:pt>
                <c:pt idx="18">
                  <c:v>1821</c:v>
                </c:pt>
                <c:pt idx="19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EF-415A-9448-5973B22E9480}"/>
            </c:ext>
          </c:extLst>
        </c:ser>
        <c:ser>
          <c:idx val="5"/>
          <c:order val="5"/>
          <c:tx>
            <c:strRef>
              <c:f>'BASE-C120POWER'!$H$1</c:f>
              <c:strCache>
                <c:ptCount val="1"/>
                <c:pt idx="0">
                  <c:v>LIB 336-120 POWER+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'BASE-C120POWER'!$H$2:$H$21</c:f>
              <c:numCache>
                <c:formatCode>General</c:formatCode>
                <c:ptCount val="20"/>
                <c:pt idx="0">
                  <c:v>231</c:v>
                </c:pt>
                <c:pt idx="1">
                  <c:v>288</c:v>
                </c:pt>
                <c:pt idx="2">
                  <c:v>346</c:v>
                </c:pt>
                <c:pt idx="3">
                  <c:v>403</c:v>
                </c:pt>
                <c:pt idx="4">
                  <c:v>462</c:v>
                </c:pt>
                <c:pt idx="5">
                  <c:v>519</c:v>
                </c:pt>
                <c:pt idx="6">
                  <c:v>577</c:v>
                </c:pt>
                <c:pt idx="7">
                  <c:v>692</c:v>
                </c:pt>
                <c:pt idx="8">
                  <c:v>808</c:v>
                </c:pt>
                <c:pt idx="9">
                  <c:v>923</c:v>
                </c:pt>
                <c:pt idx="10">
                  <c:v>1038</c:v>
                </c:pt>
                <c:pt idx="11">
                  <c:v>1153</c:v>
                </c:pt>
                <c:pt idx="12">
                  <c:v>1268</c:v>
                </c:pt>
                <c:pt idx="13">
                  <c:v>1384</c:v>
                </c:pt>
                <c:pt idx="14">
                  <c:v>1499</c:v>
                </c:pt>
                <c:pt idx="15">
                  <c:v>1615</c:v>
                </c:pt>
                <c:pt idx="16">
                  <c:v>1730</c:v>
                </c:pt>
                <c:pt idx="17">
                  <c:v>1845</c:v>
                </c:pt>
                <c:pt idx="18">
                  <c:v>1961</c:v>
                </c:pt>
                <c:pt idx="19">
                  <c:v>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EF-415A-9448-5973B22E9480}"/>
            </c:ext>
          </c:extLst>
        </c:ser>
        <c:ser>
          <c:idx val="6"/>
          <c:order val="6"/>
          <c:tx>
            <c:strRef>
              <c:f>'BASE-C120POWER'!$I$1</c:f>
              <c:strCache>
                <c:ptCount val="1"/>
                <c:pt idx="0">
                  <c:v>LIB 368-120 POWER+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'BASE-C120POWER'!$I$2:$I$21</c:f>
              <c:numCache>
                <c:formatCode>General</c:formatCode>
                <c:ptCount val="20"/>
                <c:pt idx="0">
                  <c:v>265</c:v>
                </c:pt>
                <c:pt idx="1">
                  <c:v>331</c:v>
                </c:pt>
                <c:pt idx="2">
                  <c:v>397</c:v>
                </c:pt>
                <c:pt idx="3">
                  <c:v>463</c:v>
                </c:pt>
                <c:pt idx="4">
                  <c:v>530</c:v>
                </c:pt>
                <c:pt idx="5">
                  <c:v>596</c:v>
                </c:pt>
                <c:pt idx="6">
                  <c:v>662</c:v>
                </c:pt>
                <c:pt idx="7">
                  <c:v>794</c:v>
                </c:pt>
                <c:pt idx="8">
                  <c:v>927</c:v>
                </c:pt>
                <c:pt idx="9">
                  <c:v>1059</c:v>
                </c:pt>
                <c:pt idx="10">
                  <c:v>1192</c:v>
                </c:pt>
                <c:pt idx="11">
                  <c:v>1324</c:v>
                </c:pt>
                <c:pt idx="12">
                  <c:v>1456</c:v>
                </c:pt>
                <c:pt idx="13">
                  <c:v>1589</c:v>
                </c:pt>
                <c:pt idx="14">
                  <c:v>1721</c:v>
                </c:pt>
                <c:pt idx="15">
                  <c:v>1854</c:v>
                </c:pt>
                <c:pt idx="16">
                  <c:v>1986</c:v>
                </c:pt>
                <c:pt idx="17">
                  <c:v>2119</c:v>
                </c:pt>
                <c:pt idx="18">
                  <c:v>2252</c:v>
                </c:pt>
                <c:pt idx="19">
                  <c:v>2384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EF-415A-9448-5973B22E9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676224"/>
        <c:axId val="108677760"/>
      </c:lineChart>
      <c:catAx>
        <c:axId val="108676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8677760"/>
        <c:crosses val="autoZero"/>
        <c:auto val="1"/>
        <c:lblAlgn val="ctr"/>
        <c:lblOffset val="100"/>
        <c:noMultiLvlLbl val="0"/>
      </c:catAx>
      <c:valAx>
        <c:axId val="10867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867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'BASE-C150POWER'!$B$1</c:f>
              <c:strCache>
                <c:ptCount val="1"/>
                <c:pt idx="0">
                  <c:v>C144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'BASE-C150POWER'!$B$2:$B$21</c:f>
              <c:numCache>
                <c:formatCode>General</c:formatCode>
                <c:ptCount val="20"/>
                <c:pt idx="0">
                  <c:v>96</c:v>
                </c:pt>
                <c:pt idx="1">
                  <c:v>120</c:v>
                </c:pt>
                <c:pt idx="2">
                  <c:v>143</c:v>
                </c:pt>
                <c:pt idx="3">
                  <c:v>167</c:v>
                </c:pt>
                <c:pt idx="4">
                  <c:v>192</c:v>
                </c:pt>
                <c:pt idx="5">
                  <c:v>216</c:v>
                </c:pt>
                <c:pt idx="6">
                  <c:v>239</c:v>
                </c:pt>
                <c:pt idx="7">
                  <c:v>287</c:v>
                </c:pt>
                <c:pt idx="8">
                  <c:v>335</c:v>
                </c:pt>
                <c:pt idx="9">
                  <c:v>383</c:v>
                </c:pt>
                <c:pt idx="10">
                  <c:v>431</c:v>
                </c:pt>
                <c:pt idx="11">
                  <c:v>479</c:v>
                </c:pt>
                <c:pt idx="12">
                  <c:v>526</c:v>
                </c:pt>
                <c:pt idx="13">
                  <c:v>575</c:v>
                </c:pt>
                <c:pt idx="14">
                  <c:v>622</c:v>
                </c:pt>
                <c:pt idx="15">
                  <c:v>671</c:v>
                </c:pt>
                <c:pt idx="16">
                  <c:v>718</c:v>
                </c:pt>
                <c:pt idx="17">
                  <c:v>766</c:v>
                </c:pt>
                <c:pt idx="18">
                  <c:v>814</c:v>
                </c:pt>
                <c:pt idx="19">
                  <c:v>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2-4DBA-AF72-7454283A4A15}"/>
            </c:ext>
          </c:extLst>
        </c:ser>
        <c:ser>
          <c:idx val="1"/>
          <c:order val="1"/>
          <c:tx>
            <c:strRef>
              <c:f>'BASE-C150POWER'!$C$1</c:f>
              <c:strCache>
                <c:ptCount val="1"/>
                <c:pt idx="0">
                  <c:v>LIB 176-150 POWER+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'BASE-C150POWER'!$C$2:$C$21</c:f>
              <c:numCache>
                <c:formatCode>General</c:formatCode>
                <c:ptCount val="20"/>
                <c:pt idx="0">
                  <c:v>116</c:v>
                </c:pt>
                <c:pt idx="1">
                  <c:v>145</c:v>
                </c:pt>
                <c:pt idx="2">
                  <c:v>174</c:v>
                </c:pt>
                <c:pt idx="3">
                  <c:v>202</c:v>
                </c:pt>
                <c:pt idx="4">
                  <c:v>232</c:v>
                </c:pt>
                <c:pt idx="5">
                  <c:v>261</c:v>
                </c:pt>
                <c:pt idx="6">
                  <c:v>290</c:v>
                </c:pt>
                <c:pt idx="7">
                  <c:v>347</c:v>
                </c:pt>
                <c:pt idx="8">
                  <c:v>406</c:v>
                </c:pt>
                <c:pt idx="9">
                  <c:v>463</c:v>
                </c:pt>
                <c:pt idx="10">
                  <c:v>522</c:v>
                </c:pt>
                <c:pt idx="11">
                  <c:v>580</c:v>
                </c:pt>
                <c:pt idx="12">
                  <c:v>637</c:v>
                </c:pt>
                <c:pt idx="13">
                  <c:v>696</c:v>
                </c:pt>
                <c:pt idx="14">
                  <c:v>753</c:v>
                </c:pt>
                <c:pt idx="15">
                  <c:v>812</c:v>
                </c:pt>
                <c:pt idx="16">
                  <c:v>869</c:v>
                </c:pt>
                <c:pt idx="17">
                  <c:v>927</c:v>
                </c:pt>
                <c:pt idx="18">
                  <c:v>986</c:v>
                </c:pt>
                <c:pt idx="19">
                  <c:v>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2-4DBA-AF72-7454283A4A15}"/>
            </c:ext>
          </c:extLst>
        </c:ser>
        <c:ser>
          <c:idx val="2"/>
          <c:order val="2"/>
          <c:tx>
            <c:strRef>
              <c:f>'BASE-C150POWER'!$D$1</c:f>
              <c:strCache>
                <c:ptCount val="1"/>
                <c:pt idx="0">
                  <c:v>LIB 224-150 POWER+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'BASE-C150POWER'!$D$2:$D$21</c:f>
              <c:numCache>
                <c:formatCode>General</c:formatCode>
                <c:ptCount val="20"/>
                <c:pt idx="0">
                  <c:v>234</c:v>
                </c:pt>
                <c:pt idx="1">
                  <c:v>293</c:v>
                </c:pt>
                <c:pt idx="2">
                  <c:v>351</c:v>
                </c:pt>
                <c:pt idx="3">
                  <c:v>409</c:v>
                </c:pt>
                <c:pt idx="4">
                  <c:v>467</c:v>
                </c:pt>
                <c:pt idx="5">
                  <c:v>526</c:v>
                </c:pt>
                <c:pt idx="6">
                  <c:v>584</c:v>
                </c:pt>
                <c:pt idx="7">
                  <c:v>701</c:v>
                </c:pt>
                <c:pt idx="8">
                  <c:v>818</c:v>
                </c:pt>
                <c:pt idx="9">
                  <c:v>935</c:v>
                </c:pt>
                <c:pt idx="10">
                  <c:v>1052</c:v>
                </c:pt>
                <c:pt idx="11">
                  <c:v>1169</c:v>
                </c:pt>
                <c:pt idx="12">
                  <c:v>1285</c:v>
                </c:pt>
                <c:pt idx="13">
                  <c:v>1402</c:v>
                </c:pt>
                <c:pt idx="14">
                  <c:v>1519</c:v>
                </c:pt>
                <c:pt idx="15">
                  <c:v>1636</c:v>
                </c:pt>
                <c:pt idx="16">
                  <c:v>1753</c:v>
                </c:pt>
                <c:pt idx="17">
                  <c:v>1870</c:v>
                </c:pt>
                <c:pt idx="18">
                  <c:v>1986</c:v>
                </c:pt>
                <c:pt idx="19">
                  <c:v>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2-4DBA-AF72-7454283A4A15}"/>
            </c:ext>
          </c:extLst>
        </c:ser>
        <c:ser>
          <c:idx val="3"/>
          <c:order val="3"/>
          <c:tx>
            <c:strRef>
              <c:f>'BASE-C150POWER'!$E$1</c:f>
              <c:strCache>
                <c:ptCount val="1"/>
                <c:pt idx="0">
                  <c:v>LIB 240-150 POWER+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'BASE-C150POWER'!$E$2:$E$21</c:f>
              <c:numCache>
                <c:formatCode>General</c:formatCode>
                <c:ptCount val="20"/>
                <c:pt idx="0">
                  <c:v>241</c:v>
                </c:pt>
                <c:pt idx="1">
                  <c:v>302</c:v>
                </c:pt>
                <c:pt idx="2">
                  <c:v>362</c:v>
                </c:pt>
                <c:pt idx="3">
                  <c:v>422</c:v>
                </c:pt>
                <c:pt idx="4">
                  <c:v>482</c:v>
                </c:pt>
                <c:pt idx="5">
                  <c:v>543</c:v>
                </c:pt>
                <c:pt idx="6">
                  <c:v>603</c:v>
                </c:pt>
                <c:pt idx="7">
                  <c:v>723</c:v>
                </c:pt>
                <c:pt idx="8">
                  <c:v>844</c:v>
                </c:pt>
                <c:pt idx="9">
                  <c:v>964</c:v>
                </c:pt>
                <c:pt idx="10">
                  <c:v>1085</c:v>
                </c:pt>
                <c:pt idx="11">
                  <c:v>1205</c:v>
                </c:pt>
                <c:pt idx="12">
                  <c:v>1326</c:v>
                </c:pt>
                <c:pt idx="13">
                  <c:v>1446</c:v>
                </c:pt>
                <c:pt idx="14">
                  <c:v>1567</c:v>
                </c:pt>
                <c:pt idx="15">
                  <c:v>1688</c:v>
                </c:pt>
                <c:pt idx="16">
                  <c:v>1808</c:v>
                </c:pt>
                <c:pt idx="17">
                  <c:v>1929</c:v>
                </c:pt>
                <c:pt idx="18">
                  <c:v>2049</c:v>
                </c:pt>
                <c:pt idx="19">
                  <c:v>2170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62-4DBA-AF72-7454283A4A15}"/>
            </c:ext>
          </c:extLst>
        </c:ser>
        <c:ser>
          <c:idx val="4"/>
          <c:order val="4"/>
          <c:tx>
            <c:strRef>
              <c:f>'BASE-C150POWER'!$F$1</c:f>
              <c:strCache>
                <c:ptCount val="1"/>
                <c:pt idx="0">
                  <c:v>LIB 272-150 POWER+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'BASE-C150POWER'!$F$2:$F$21</c:f>
              <c:numCache>
                <c:formatCode>General</c:formatCode>
                <c:ptCount val="20"/>
                <c:pt idx="0">
                  <c:v>282</c:v>
                </c:pt>
                <c:pt idx="1">
                  <c:v>352</c:v>
                </c:pt>
                <c:pt idx="2">
                  <c:v>422</c:v>
                </c:pt>
                <c:pt idx="3">
                  <c:v>493</c:v>
                </c:pt>
                <c:pt idx="4">
                  <c:v>563</c:v>
                </c:pt>
                <c:pt idx="5">
                  <c:v>634</c:v>
                </c:pt>
                <c:pt idx="6">
                  <c:v>704</c:v>
                </c:pt>
                <c:pt idx="7">
                  <c:v>845</c:v>
                </c:pt>
                <c:pt idx="8">
                  <c:v>986</c:v>
                </c:pt>
                <c:pt idx="9">
                  <c:v>1127</c:v>
                </c:pt>
                <c:pt idx="10">
                  <c:v>1268</c:v>
                </c:pt>
                <c:pt idx="11">
                  <c:v>1409</c:v>
                </c:pt>
                <c:pt idx="12">
                  <c:v>1550</c:v>
                </c:pt>
                <c:pt idx="13">
                  <c:v>1691</c:v>
                </c:pt>
                <c:pt idx="14">
                  <c:v>1831</c:v>
                </c:pt>
                <c:pt idx="15">
                  <c:v>1972</c:v>
                </c:pt>
                <c:pt idx="16">
                  <c:v>2113</c:v>
                </c:pt>
                <c:pt idx="17">
                  <c:v>2254</c:v>
                </c:pt>
                <c:pt idx="18">
                  <c:v>2395</c:v>
                </c:pt>
                <c:pt idx="19">
                  <c:v>2535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62-4DBA-AF72-7454283A4A15}"/>
            </c:ext>
          </c:extLst>
        </c:ser>
        <c:ser>
          <c:idx val="5"/>
          <c:order val="5"/>
          <c:tx>
            <c:strRef>
              <c:f>'BASE-C150POWER'!$G$1</c:f>
              <c:strCache>
                <c:ptCount val="1"/>
                <c:pt idx="0">
                  <c:v>LIB 304-150 POWER+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'BASE-C150POWER'!$G$2:$G$21</c:f>
              <c:numCache>
                <c:formatCode>General</c:formatCode>
                <c:ptCount val="20"/>
                <c:pt idx="0">
                  <c:v>301</c:v>
                </c:pt>
                <c:pt idx="1">
                  <c:v>375</c:v>
                </c:pt>
                <c:pt idx="2">
                  <c:v>450</c:v>
                </c:pt>
                <c:pt idx="3">
                  <c:v>526</c:v>
                </c:pt>
                <c:pt idx="4">
                  <c:v>600</c:v>
                </c:pt>
                <c:pt idx="5">
                  <c:v>676</c:v>
                </c:pt>
                <c:pt idx="6">
                  <c:v>751</c:v>
                </c:pt>
                <c:pt idx="7">
                  <c:v>901</c:v>
                </c:pt>
                <c:pt idx="8">
                  <c:v>1051</c:v>
                </c:pt>
                <c:pt idx="9">
                  <c:v>1201</c:v>
                </c:pt>
                <c:pt idx="10">
                  <c:v>1351</c:v>
                </c:pt>
                <c:pt idx="11">
                  <c:v>1502</c:v>
                </c:pt>
                <c:pt idx="12">
                  <c:v>1652</c:v>
                </c:pt>
                <c:pt idx="13">
                  <c:v>1802</c:v>
                </c:pt>
                <c:pt idx="14">
                  <c:v>1952</c:v>
                </c:pt>
                <c:pt idx="15">
                  <c:v>2102</c:v>
                </c:pt>
                <c:pt idx="16">
                  <c:v>2252</c:v>
                </c:pt>
                <c:pt idx="17">
                  <c:v>2403</c:v>
                </c:pt>
                <c:pt idx="18">
                  <c:v>2553</c:v>
                </c:pt>
                <c:pt idx="19">
                  <c:v>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62-4DBA-AF72-7454283A4A15}"/>
            </c:ext>
          </c:extLst>
        </c:ser>
        <c:ser>
          <c:idx val="6"/>
          <c:order val="6"/>
          <c:tx>
            <c:strRef>
              <c:f>'BASE-C150POWER'!$H$1</c:f>
              <c:strCache>
                <c:ptCount val="1"/>
                <c:pt idx="0">
                  <c:v>LIB 336-150 POWER+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'BASE-C150POWER'!$H$2:$H$21</c:f>
              <c:numCache>
                <c:formatCode>General</c:formatCode>
                <c:ptCount val="20"/>
                <c:pt idx="0">
                  <c:v>310</c:v>
                </c:pt>
                <c:pt idx="1">
                  <c:v>388</c:v>
                </c:pt>
                <c:pt idx="2">
                  <c:v>466</c:v>
                </c:pt>
                <c:pt idx="3">
                  <c:v>544</c:v>
                </c:pt>
                <c:pt idx="4">
                  <c:v>620</c:v>
                </c:pt>
                <c:pt idx="5">
                  <c:v>698</c:v>
                </c:pt>
                <c:pt idx="6">
                  <c:v>776</c:v>
                </c:pt>
                <c:pt idx="7">
                  <c:v>932</c:v>
                </c:pt>
                <c:pt idx="8">
                  <c:v>1086</c:v>
                </c:pt>
                <c:pt idx="9">
                  <c:v>1242</c:v>
                </c:pt>
                <c:pt idx="10">
                  <c:v>1396</c:v>
                </c:pt>
                <c:pt idx="11">
                  <c:v>1552</c:v>
                </c:pt>
                <c:pt idx="12">
                  <c:v>1707</c:v>
                </c:pt>
                <c:pt idx="13">
                  <c:v>1862</c:v>
                </c:pt>
                <c:pt idx="14">
                  <c:v>2018</c:v>
                </c:pt>
                <c:pt idx="15">
                  <c:v>2172</c:v>
                </c:pt>
                <c:pt idx="16">
                  <c:v>2328</c:v>
                </c:pt>
                <c:pt idx="17">
                  <c:v>2483</c:v>
                </c:pt>
                <c:pt idx="18">
                  <c:v>2638</c:v>
                </c:pt>
                <c:pt idx="19">
                  <c:v>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62-4DBA-AF72-7454283A4A15}"/>
            </c:ext>
          </c:extLst>
        </c:ser>
        <c:ser>
          <c:idx val="7"/>
          <c:order val="7"/>
          <c:tx>
            <c:strRef>
              <c:f>'BASE-C150POWER'!$I$1</c:f>
              <c:strCache>
                <c:ptCount val="1"/>
                <c:pt idx="0">
                  <c:v>LIB 368-150 POWER+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'BASE-C150POWER'!$I$2:$I$21</c:f>
              <c:numCache>
                <c:formatCode>General</c:formatCode>
                <c:ptCount val="20"/>
                <c:pt idx="0">
                  <c:v>356</c:v>
                </c:pt>
                <c:pt idx="1">
                  <c:v>445</c:v>
                </c:pt>
                <c:pt idx="2">
                  <c:v>535</c:v>
                </c:pt>
                <c:pt idx="3">
                  <c:v>624</c:v>
                </c:pt>
                <c:pt idx="4">
                  <c:v>712</c:v>
                </c:pt>
                <c:pt idx="5">
                  <c:v>802</c:v>
                </c:pt>
                <c:pt idx="6">
                  <c:v>891</c:v>
                </c:pt>
                <c:pt idx="7">
                  <c:v>1070</c:v>
                </c:pt>
                <c:pt idx="8">
                  <c:v>1247</c:v>
                </c:pt>
                <c:pt idx="9">
                  <c:v>1426</c:v>
                </c:pt>
                <c:pt idx="10">
                  <c:v>1603</c:v>
                </c:pt>
                <c:pt idx="11">
                  <c:v>1782</c:v>
                </c:pt>
                <c:pt idx="12">
                  <c:v>1960</c:v>
                </c:pt>
                <c:pt idx="13">
                  <c:v>2138</c:v>
                </c:pt>
                <c:pt idx="14">
                  <c:v>2317</c:v>
                </c:pt>
                <c:pt idx="15">
                  <c:v>2494</c:v>
                </c:pt>
                <c:pt idx="16">
                  <c:v>2673</c:v>
                </c:pt>
                <c:pt idx="17">
                  <c:v>2851</c:v>
                </c:pt>
                <c:pt idx="18">
                  <c:v>3029</c:v>
                </c:pt>
                <c:pt idx="19">
                  <c:v>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62-4DBA-AF72-7454283A4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498176"/>
        <c:axId val="110499712"/>
      </c:lineChart>
      <c:catAx>
        <c:axId val="110498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499712"/>
        <c:crosses val="autoZero"/>
        <c:auto val="1"/>
        <c:lblAlgn val="ctr"/>
        <c:lblOffset val="100"/>
        <c:noMultiLvlLbl val="0"/>
      </c:catAx>
      <c:valAx>
        <c:axId val="11049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49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'BASE-C200POWER'!$B$1</c:f>
              <c:strCache>
                <c:ptCount val="1"/>
                <c:pt idx="0">
                  <c:v>C144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'BASE-C200POWER'!$B$2:$B$21</c:f>
              <c:numCache>
                <c:formatCode>General</c:formatCode>
                <c:ptCount val="20"/>
                <c:pt idx="0">
                  <c:v>103</c:v>
                </c:pt>
                <c:pt idx="1">
                  <c:v>129</c:v>
                </c:pt>
                <c:pt idx="2">
                  <c:v>155</c:v>
                </c:pt>
                <c:pt idx="3">
                  <c:v>181</c:v>
                </c:pt>
                <c:pt idx="4">
                  <c:v>206</c:v>
                </c:pt>
                <c:pt idx="5">
                  <c:v>232</c:v>
                </c:pt>
                <c:pt idx="6">
                  <c:v>258</c:v>
                </c:pt>
                <c:pt idx="7">
                  <c:v>309</c:v>
                </c:pt>
                <c:pt idx="8">
                  <c:v>361</c:v>
                </c:pt>
                <c:pt idx="9">
                  <c:v>413</c:v>
                </c:pt>
                <c:pt idx="10">
                  <c:v>464</c:v>
                </c:pt>
                <c:pt idx="11">
                  <c:v>516</c:v>
                </c:pt>
                <c:pt idx="12">
                  <c:v>567</c:v>
                </c:pt>
                <c:pt idx="13">
                  <c:v>619</c:v>
                </c:pt>
                <c:pt idx="14">
                  <c:v>670</c:v>
                </c:pt>
                <c:pt idx="15">
                  <c:v>722</c:v>
                </c:pt>
                <c:pt idx="16">
                  <c:v>773</c:v>
                </c:pt>
                <c:pt idx="17">
                  <c:v>825</c:v>
                </c:pt>
                <c:pt idx="18">
                  <c:v>876</c:v>
                </c:pt>
                <c:pt idx="19">
                  <c:v>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0-44DC-9385-E34CEC43FE7B}"/>
            </c:ext>
          </c:extLst>
        </c:ser>
        <c:ser>
          <c:idx val="1"/>
          <c:order val="1"/>
          <c:tx>
            <c:strRef>
              <c:f>'BASE-C200POWER'!$C$1</c:f>
              <c:strCache>
                <c:ptCount val="1"/>
                <c:pt idx="0">
                  <c:v>LIB 176-200 POWER+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'BASE-C200POWER'!$C$2:$C$21</c:f>
              <c:numCache>
                <c:formatCode>General</c:formatCode>
                <c:ptCount val="20"/>
                <c:pt idx="0">
                  <c:v>124</c:v>
                </c:pt>
                <c:pt idx="1">
                  <c:v>156</c:v>
                </c:pt>
                <c:pt idx="2">
                  <c:v>187</c:v>
                </c:pt>
                <c:pt idx="3">
                  <c:v>218</c:v>
                </c:pt>
                <c:pt idx="4">
                  <c:v>249</c:v>
                </c:pt>
                <c:pt idx="5">
                  <c:v>280</c:v>
                </c:pt>
                <c:pt idx="6">
                  <c:v>311</c:v>
                </c:pt>
                <c:pt idx="7">
                  <c:v>373</c:v>
                </c:pt>
                <c:pt idx="8">
                  <c:v>435</c:v>
                </c:pt>
                <c:pt idx="9">
                  <c:v>497</c:v>
                </c:pt>
                <c:pt idx="10">
                  <c:v>559</c:v>
                </c:pt>
                <c:pt idx="11">
                  <c:v>621</c:v>
                </c:pt>
                <c:pt idx="12">
                  <c:v>683</c:v>
                </c:pt>
                <c:pt idx="13">
                  <c:v>745</c:v>
                </c:pt>
                <c:pt idx="14">
                  <c:v>808</c:v>
                </c:pt>
                <c:pt idx="15">
                  <c:v>870</c:v>
                </c:pt>
                <c:pt idx="16">
                  <c:v>932</c:v>
                </c:pt>
                <c:pt idx="17">
                  <c:v>994</c:v>
                </c:pt>
                <c:pt idx="18">
                  <c:v>1056</c:v>
                </c:pt>
                <c:pt idx="19">
                  <c:v>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0-44DC-9385-E34CEC43FE7B}"/>
            </c:ext>
          </c:extLst>
        </c:ser>
        <c:ser>
          <c:idx val="2"/>
          <c:order val="2"/>
          <c:tx>
            <c:strRef>
              <c:f>'BASE-C200POWER'!$D$1</c:f>
              <c:strCache>
                <c:ptCount val="1"/>
                <c:pt idx="0">
                  <c:v>LIB 224-200 POWER+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'BASE-C200POWER'!$D$2:$D$21</c:f>
              <c:numCache>
                <c:formatCode>General</c:formatCode>
                <c:ptCount val="20"/>
                <c:pt idx="0">
                  <c:v>251</c:v>
                </c:pt>
                <c:pt idx="1">
                  <c:v>314</c:v>
                </c:pt>
                <c:pt idx="2">
                  <c:v>377</c:v>
                </c:pt>
                <c:pt idx="3">
                  <c:v>440</c:v>
                </c:pt>
                <c:pt idx="4">
                  <c:v>503</c:v>
                </c:pt>
                <c:pt idx="5">
                  <c:v>565</c:v>
                </c:pt>
                <c:pt idx="6">
                  <c:v>628</c:v>
                </c:pt>
                <c:pt idx="7">
                  <c:v>753</c:v>
                </c:pt>
                <c:pt idx="8">
                  <c:v>879</c:v>
                </c:pt>
                <c:pt idx="9">
                  <c:v>1005</c:v>
                </c:pt>
                <c:pt idx="10">
                  <c:v>1131</c:v>
                </c:pt>
                <c:pt idx="11">
                  <c:v>1256</c:v>
                </c:pt>
                <c:pt idx="12">
                  <c:v>1381</c:v>
                </c:pt>
                <c:pt idx="13">
                  <c:v>1507</c:v>
                </c:pt>
                <c:pt idx="14">
                  <c:v>1633</c:v>
                </c:pt>
                <c:pt idx="15">
                  <c:v>1758</c:v>
                </c:pt>
                <c:pt idx="16">
                  <c:v>1884</c:v>
                </c:pt>
                <c:pt idx="17">
                  <c:v>2009</c:v>
                </c:pt>
                <c:pt idx="18">
                  <c:v>2135</c:v>
                </c:pt>
                <c:pt idx="19">
                  <c:v>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0-44DC-9385-E34CEC43FE7B}"/>
            </c:ext>
          </c:extLst>
        </c:ser>
        <c:ser>
          <c:idx val="3"/>
          <c:order val="3"/>
          <c:tx>
            <c:strRef>
              <c:f>'BASE-C200POWER'!$E$1</c:f>
              <c:strCache>
                <c:ptCount val="1"/>
                <c:pt idx="0">
                  <c:v>LIB 240-200 POWER+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'BASE-C200POWER'!$E$2:$E$21</c:f>
              <c:numCache>
                <c:formatCode>General</c:formatCode>
                <c:ptCount val="20"/>
                <c:pt idx="0">
                  <c:v>259</c:v>
                </c:pt>
                <c:pt idx="1">
                  <c:v>324</c:v>
                </c:pt>
                <c:pt idx="2">
                  <c:v>389</c:v>
                </c:pt>
                <c:pt idx="3">
                  <c:v>454</c:v>
                </c:pt>
                <c:pt idx="4">
                  <c:v>518</c:v>
                </c:pt>
                <c:pt idx="5">
                  <c:v>583</c:v>
                </c:pt>
                <c:pt idx="6">
                  <c:v>648</c:v>
                </c:pt>
                <c:pt idx="7">
                  <c:v>777</c:v>
                </c:pt>
                <c:pt idx="8">
                  <c:v>907</c:v>
                </c:pt>
                <c:pt idx="9">
                  <c:v>1037</c:v>
                </c:pt>
                <c:pt idx="10">
                  <c:v>1166</c:v>
                </c:pt>
                <c:pt idx="11">
                  <c:v>1296</c:v>
                </c:pt>
                <c:pt idx="12">
                  <c:v>1425</c:v>
                </c:pt>
                <c:pt idx="13">
                  <c:v>1554</c:v>
                </c:pt>
                <c:pt idx="14">
                  <c:v>1685</c:v>
                </c:pt>
                <c:pt idx="15">
                  <c:v>1814</c:v>
                </c:pt>
                <c:pt idx="16">
                  <c:v>1943</c:v>
                </c:pt>
                <c:pt idx="17">
                  <c:v>2073</c:v>
                </c:pt>
                <c:pt idx="18">
                  <c:v>2202</c:v>
                </c:pt>
                <c:pt idx="19">
                  <c:v>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90-44DC-9385-E34CEC43FE7B}"/>
            </c:ext>
          </c:extLst>
        </c:ser>
        <c:ser>
          <c:idx val="4"/>
          <c:order val="4"/>
          <c:tx>
            <c:strRef>
              <c:f>'BASE-C200POWER'!$F$1</c:f>
              <c:strCache>
                <c:ptCount val="1"/>
                <c:pt idx="0">
                  <c:v>LIB 272-200 POWER+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'BASE-C200POWER'!$F$2:$F$21</c:f>
              <c:numCache>
                <c:formatCode>General</c:formatCode>
                <c:ptCount val="20"/>
                <c:pt idx="0">
                  <c:v>319</c:v>
                </c:pt>
                <c:pt idx="1">
                  <c:v>399</c:v>
                </c:pt>
                <c:pt idx="2">
                  <c:v>480</c:v>
                </c:pt>
                <c:pt idx="3">
                  <c:v>560</c:v>
                </c:pt>
                <c:pt idx="4">
                  <c:v>639</c:v>
                </c:pt>
                <c:pt idx="5">
                  <c:v>719</c:v>
                </c:pt>
                <c:pt idx="6">
                  <c:v>799</c:v>
                </c:pt>
                <c:pt idx="7">
                  <c:v>959</c:v>
                </c:pt>
                <c:pt idx="8">
                  <c:v>1118</c:v>
                </c:pt>
                <c:pt idx="9">
                  <c:v>1279</c:v>
                </c:pt>
                <c:pt idx="10">
                  <c:v>1438</c:v>
                </c:pt>
                <c:pt idx="11">
                  <c:v>1598</c:v>
                </c:pt>
                <c:pt idx="12">
                  <c:v>1758</c:v>
                </c:pt>
                <c:pt idx="13">
                  <c:v>1917</c:v>
                </c:pt>
                <c:pt idx="14">
                  <c:v>2078</c:v>
                </c:pt>
                <c:pt idx="15">
                  <c:v>2237</c:v>
                </c:pt>
                <c:pt idx="16">
                  <c:v>2397</c:v>
                </c:pt>
                <c:pt idx="17">
                  <c:v>2557</c:v>
                </c:pt>
                <c:pt idx="18">
                  <c:v>2716</c:v>
                </c:pt>
                <c:pt idx="19">
                  <c:v>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90-44DC-9385-E34CEC43FE7B}"/>
            </c:ext>
          </c:extLst>
        </c:ser>
        <c:ser>
          <c:idx val="5"/>
          <c:order val="5"/>
          <c:tx>
            <c:strRef>
              <c:f>'BASE-C200POWER'!$G$1</c:f>
              <c:strCache>
                <c:ptCount val="1"/>
                <c:pt idx="0">
                  <c:v>LIB 304-200 POWER+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'BASE-C200POWER'!$G$2:$G$21</c:f>
              <c:numCache>
                <c:formatCode>General</c:formatCode>
                <c:ptCount val="20"/>
                <c:pt idx="0">
                  <c:v>340</c:v>
                </c:pt>
                <c:pt idx="1">
                  <c:v>426</c:v>
                </c:pt>
                <c:pt idx="2">
                  <c:v>511</c:v>
                </c:pt>
                <c:pt idx="3">
                  <c:v>597</c:v>
                </c:pt>
                <c:pt idx="4">
                  <c:v>681</c:v>
                </c:pt>
                <c:pt idx="5">
                  <c:v>766</c:v>
                </c:pt>
                <c:pt idx="6">
                  <c:v>852</c:v>
                </c:pt>
                <c:pt idx="7">
                  <c:v>1022</c:v>
                </c:pt>
                <c:pt idx="8">
                  <c:v>1192</c:v>
                </c:pt>
                <c:pt idx="9">
                  <c:v>1363</c:v>
                </c:pt>
                <c:pt idx="10">
                  <c:v>1533</c:v>
                </c:pt>
                <c:pt idx="11">
                  <c:v>1703</c:v>
                </c:pt>
                <c:pt idx="12">
                  <c:v>1874</c:v>
                </c:pt>
                <c:pt idx="13">
                  <c:v>2044</c:v>
                </c:pt>
                <c:pt idx="14">
                  <c:v>2215</c:v>
                </c:pt>
                <c:pt idx="15">
                  <c:v>2384</c:v>
                </c:pt>
                <c:pt idx="16">
                  <c:v>2555</c:v>
                </c:pt>
                <c:pt idx="17">
                  <c:v>2726</c:v>
                </c:pt>
                <c:pt idx="18">
                  <c:v>2895</c:v>
                </c:pt>
                <c:pt idx="19">
                  <c:v>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0-44DC-9385-E34CEC43FE7B}"/>
            </c:ext>
          </c:extLst>
        </c:ser>
        <c:ser>
          <c:idx val="6"/>
          <c:order val="6"/>
          <c:tx>
            <c:strRef>
              <c:f>'BASE-C200POWER'!$H$1</c:f>
              <c:strCache>
                <c:ptCount val="1"/>
                <c:pt idx="0">
                  <c:v>LIB 336-200 POWER+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'BASE-C200POWER'!$H$2:$H$21</c:f>
              <c:numCache>
                <c:formatCode>General</c:formatCode>
                <c:ptCount val="20"/>
                <c:pt idx="0">
                  <c:v>399</c:v>
                </c:pt>
                <c:pt idx="1">
                  <c:v>498</c:v>
                </c:pt>
                <c:pt idx="2">
                  <c:v>597</c:v>
                </c:pt>
                <c:pt idx="3">
                  <c:v>697</c:v>
                </c:pt>
                <c:pt idx="4">
                  <c:v>796</c:v>
                </c:pt>
                <c:pt idx="5">
                  <c:v>896</c:v>
                </c:pt>
                <c:pt idx="6">
                  <c:v>993</c:v>
                </c:pt>
                <c:pt idx="7">
                  <c:v>1195</c:v>
                </c:pt>
                <c:pt idx="8">
                  <c:v>1394</c:v>
                </c:pt>
                <c:pt idx="9">
                  <c:v>1592</c:v>
                </c:pt>
                <c:pt idx="10">
                  <c:v>1792</c:v>
                </c:pt>
                <c:pt idx="11">
                  <c:v>1991</c:v>
                </c:pt>
                <c:pt idx="12">
                  <c:v>2190</c:v>
                </c:pt>
                <c:pt idx="13">
                  <c:v>2390</c:v>
                </c:pt>
                <c:pt idx="14">
                  <c:v>2588</c:v>
                </c:pt>
                <c:pt idx="15">
                  <c:v>2787</c:v>
                </c:pt>
                <c:pt idx="16">
                  <c:v>2986</c:v>
                </c:pt>
                <c:pt idx="17">
                  <c:v>3186</c:v>
                </c:pt>
                <c:pt idx="18">
                  <c:v>3385</c:v>
                </c:pt>
                <c:pt idx="19">
                  <c:v>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90-44DC-9385-E34CEC43FE7B}"/>
            </c:ext>
          </c:extLst>
        </c:ser>
        <c:ser>
          <c:idx val="7"/>
          <c:order val="7"/>
          <c:tx>
            <c:strRef>
              <c:f>'BASE-C200POWER'!$I$1</c:f>
              <c:strCache>
                <c:ptCount val="1"/>
                <c:pt idx="0">
                  <c:v>LIB 368-200 POWER+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'BASE-C200POWER'!$I$2:$I$21</c:f>
              <c:numCache>
                <c:formatCode>General</c:formatCode>
                <c:ptCount val="20"/>
                <c:pt idx="0">
                  <c:v>458</c:v>
                </c:pt>
                <c:pt idx="1">
                  <c:v>572</c:v>
                </c:pt>
                <c:pt idx="2">
                  <c:v>685</c:v>
                </c:pt>
                <c:pt idx="3">
                  <c:v>800</c:v>
                </c:pt>
                <c:pt idx="4">
                  <c:v>914</c:v>
                </c:pt>
                <c:pt idx="5">
                  <c:v>1029</c:v>
                </c:pt>
                <c:pt idx="6">
                  <c:v>1140</c:v>
                </c:pt>
                <c:pt idx="7">
                  <c:v>1372</c:v>
                </c:pt>
                <c:pt idx="8">
                  <c:v>1601</c:v>
                </c:pt>
                <c:pt idx="9">
                  <c:v>1828</c:v>
                </c:pt>
                <c:pt idx="10">
                  <c:v>2057</c:v>
                </c:pt>
                <c:pt idx="11">
                  <c:v>2286</c:v>
                </c:pt>
                <c:pt idx="12">
                  <c:v>2515</c:v>
                </c:pt>
                <c:pt idx="13">
                  <c:v>2744</c:v>
                </c:pt>
                <c:pt idx="14">
                  <c:v>2971</c:v>
                </c:pt>
                <c:pt idx="15">
                  <c:v>3200</c:v>
                </c:pt>
                <c:pt idx="16">
                  <c:v>3429</c:v>
                </c:pt>
                <c:pt idx="17">
                  <c:v>3658</c:v>
                </c:pt>
                <c:pt idx="18">
                  <c:v>3886</c:v>
                </c:pt>
                <c:pt idx="19">
                  <c:v>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90-44DC-9385-E34CEC43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560768"/>
        <c:axId val="110562304"/>
      </c:lineChart>
      <c:catAx>
        <c:axId val="110560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562304"/>
        <c:crosses val="autoZero"/>
        <c:auto val="1"/>
        <c:lblAlgn val="ctr"/>
        <c:lblOffset val="100"/>
        <c:noMultiLvlLbl val="0"/>
      </c:catAx>
      <c:valAx>
        <c:axId val="11056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56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'BASE-C90'!$B$1</c:f>
              <c:strCache>
                <c:ptCount val="1"/>
                <c:pt idx="0">
                  <c:v>C144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'BASE-C90'!$B$2:$B$21</c:f>
              <c:numCache>
                <c:formatCode>General</c:formatCode>
                <c:ptCount val="20"/>
                <c:pt idx="0">
                  <c:v>68</c:v>
                </c:pt>
                <c:pt idx="1">
                  <c:v>86</c:v>
                </c:pt>
                <c:pt idx="2">
                  <c:v>103</c:v>
                </c:pt>
                <c:pt idx="3">
                  <c:v>120</c:v>
                </c:pt>
                <c:pt idx="4">
                  <c:v>137</c:v>
                </c:pt>
                <c:pt idx="5">
                  <c:v>154</c:v>
                </c:pt>
                <c:pt idx="6">
                  <c:v>171</c:v>
                </c:pt>
                <c:pt idx="7">
                  <c:v>206</c:v>
                </c:pt>
                <c:pt idx="8">
                  <c:v>240</c:v>
                </c:pt>
                <c:pt idx="9">
                  <c:v>274</c:v>
                </c:pt>
                <c:pt idx="10">
                  <c:v>308</c:v>
                </c:pt>
                <c:pt idx="11">
                  <c:v>343</c:v>
                </c:pt>
                <c:pt idx="12">
                  <c:v>377</c:v>
                </c:pt>
                <c:pt idx="13">
                  <c:v>411</c:v>
                </c:pt>
                <c:pt idx="14">
                  <c:v>446</c:v>
                </c:pt>
                <c:pt idx="15">
                  <c:v>480</c:v>
                </c:pt>
                <c:pt idx="16">
                  <c:v>514</c:v>
                </c:pt>
                <c:pt idx="17">
                  <c:v>548</c:v>
                </c:pt>
                <c:pt idx="18">
                  <c:v>582</c:v>
                </c:pt>
                <c:pt idx="19">
                  <c:v>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A-4D7C-851D-B3C5B177700C}"/>
            </c:ext>
          </c:extLst>
        </c:ser>
        <c:ser>
          <c:idx val="1"/>
          <c:order val="1"/>
          <c:tx>
            <c:strRef>
              <c:f>'BASE-C90'!$C$1</c:f>
              <c:strCache>
                <c:ptCount val="1"/>
                <c:pt idx="0">
                  <c:v>C176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'BASE-C90'!$C$2:$C$21</c:f>
              <c:numCache>
                <c:formatCode>General</c:formatCode>
                <c:ptCount val="20"/>
                <c:pt idx="0">
                  <c:v>82</c:v>
                </c:pt>
                <c:pt idx="1">
                  <c:v>103</c:v>
                </c:pt>
                <c:pt idx="2">
                  <c:v>125</c:v>
                </c:pt>
                <c:pt idx="3">
                  <c:v>146</c:v>
                </c:pt>
                <c:pt idx="4">
                  <c:v>167</c:v>
                </c:pt>
                <c:pt idx="5">
                  <c:v>189</c:v>
                </c:pt>
                <c:pt idx="6">
                  <c:v>209</c:v>
                </c:pt>
                <c:pt idx="7">
                  <c:v>252</c:v>
                </c:pt>
                <c:pt idx="8">
                  <c:v>294</c:v>
                </c:pt>
                <c:pt idx="9">
                  <c:v>335</c:v>
                </c:pt>
                <c:pt idx="10">
                  <c:v>378</c:v>
                </c:pt>
                <c:pt idx="11">
                  <c:v>419</c:v>
                </c:pt>
                <c:pt idx="12">
                  <c:v>461</c:v>
                </c:pt>
                <c:pt idx="13">
                  <c:v>503</c:v>
                </c:pt>
                <c:pt idx="14">
                  <c:v>545</c:v>
                </c:pt>
                <c:pt idx="15">
                  <c:v>587</c:v>
                </c:pt>
                <c:pt idx="16">
                  <c:v>629</c:v>
                </c:pt>
                <c:pt idx="17">
                  <c:v>671</c:v>
                </c:pt>
                <c:pt idx="18">
                  <c:v>713</c:v>
                </c:pt>
                <c:pt idx="19">
                  <c:v>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A-4D7C-851D-B3C5B177700C}"/>
            </c:ext>
          </c:extLst>
        </c:ser>
        <c:ser>
          <c:idx val="2"/>
          <c:order val="2"/>
          <c:tx>
            <c:strRef>
              <c:f>'BASE-C90'!$D$1</c:f>
              <c:strCache>
                <c:ptCount val="1"/>
                <c:pt idx="0">
                  <c:v>C224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'BASE-C90'!$D$2:$D$21</c:f>
              <c:numCache>
                <c:formatCode>General</c:formatCode>
                <c:ptCount val="20"/>
                <c:pt idx="0">
                  <c:v>107</c:v>
                </c:pt>
                <c:pt idx="1">
                  <c:v>135</c:v>
                </c:pt>
                <c:pt idx="2">
                  <c:v>163</c:v>
                </c:pt>
                <c:pt idx="3">
                  <c:v>190</c:v>
                </c:pt>
                <c:pt idx="4">
                  <c:v>218</c:v>
                </c:pt>
                <c:pt idx="5">
                  <c:v>246</c:v>
                </c:pt>
                <c:pt idx="6">
                  <c:v>273</c:v>
                </c:pt>
                <c:pt idx="7">
                  <c:v>328</c:v>
                </c:pt>
                <c:pt idx="8">
                  <c:v>382</c:v>
                </c:pt>
                <c:pt idx="9">
                  <c:v>437</c:v>
                </c:pt>
                <c:pt idx="10">
                  <c:v>491</c:v>
                </c:pt>
                <c:pt idx="11">
                  <c:v>546</c:v>
                </c:pt>
                <c:pt idx="12">
                  <c:v>601</c:v>
                </c:pt>
                <c:pt idx="13">
                  <c:v>655</c:v>
                </c:pt>
                <c:pt idx="14">
                  <c:v>710</c:v>
                </c:pt>
                <c:pt idx="15">
                  <c:v>764</c:v>
                </c:pt>
                <c:pt idx="16">
                  <c:v>819</c:v>
                </c:pt>
                <c:pt idx="17">
                  <c:v>874</c:v>
                </c:pt>
                <c:pt idx="18">
                  <c:v>928</c:v>
                </c:pt>
                <c:pt idx="19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A-4D7C-851D-B3C5B177700C}"/>
            </c:ext>
          </c:extLst>
        </c:ser>
        <c:ser>
          <c:idx val="3"/>
          <c:order val="3"/>
          <c:tx>
            <c:strRef>
              <c:f>'BASE-C90'!$E$1</c:f>
              <c:strCache>
                <c:ptCount val="1"/>
                <c:pt idx="0">
                  <c:v>C240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'BASE-C90'!$E$2:$E$21</c:f>
              <c:numCache>
                <c:formatCode>General</c:formatCode>
                <c:ptCount val="20"/>
                <c:pt idx="0">
                  <c:v>110</c:v>
                </c:pt>
                <c:pt idx="1">
                  <c:v>139</c:v>
                </c:pt>
                <c:pt idx="2">
                  <c:v>167</c:v>
                </c:pt>
                <c:pt idx="3">
                  <c:v>196</c:v>
                </c:pt>
                <c:pt idx="4">
                  <c:v>224</c:v>
                </c:pt>
                <c:pt idx="5">
                  <c:v>253</c:v>
                </c:pt>
                <c:pt idx="6">
                  <c:v>281</c:v>
                </c:pt>
                <c:pt idx="7">
                  <c:v>337</c:v>
                </c:pt>
                <c:pt idx="8">
                  <c:v>393</c:v>
                </c:pt>
                <c:pt idx="9">
                  <c:v>449</c:v>
                </c:pt>
                <c:pt idx="10">
                  <c:v>505</c:v>
                </c:pt>
                <c:pt idx="11">
                  <c:v>561</c:v>
                </c:pt>
                <c:pt idx="12">
                  <c:v>618</c:v>
                </c:pt>
                <c:pt idx="13">
                  <c:v>674</c:v>
                </c:pt>
                <c:pt idx="14">
                  <c:v>730</c:v>
                </c:pt>
                <c:pt idx="15">
                  <c:v>785</c:v>
                </c:pt>
                <c:pt idx="16">
                  <c:v>842</c:v>
                </c:pt>
                <c:pt idx="17">
                  <c:v>899</c:v>
                </c:pt>
                <c:pt idx="18">
                  <c:v>954</c:v>
                </c:pt>
                <c:pt idx="19">
                  <c:v>1010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7A-4D7C-851D-B3C5B177700C}"/>
            </c:ext>
          </c:extLst>
        </c:ser>
        <c:ser>
          <c:idx val="4"/>
          <c:order val="4"/>
          <c:tx>
            <c:strRef>
              <c:f>'BASE-C90'!$F$1</c:f>
              <c:strCache>
                <c:ptCount val="1"/>
                <c:pt idx="0">
                  <c:v>C272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'BASE-C90'!$F$2:$F$21</c:f>
              <c:numCache>
                <c:formatCode>General</c:formatCode>
                <c:ptCount val="20"/>
                <c:pt idx="0">
                  <c:v>122</c:v>
                </c:pt>
                <c:pt idx="1">
                  <c:v>154</c:v>
                </c:pt>
                <c:pt idx="2">
                  <c:v>185</c:v>
                </c:pt>
                <c:pt idx="3">
                  <c:v>217</c:v>
                </c:pt>
                <c:pt idx="4">
                  <c:v>249</c:v>
                </c:pt>
                <c:pt idx="5">
                  <c:v>280</c:v>
                </c:pt>
                <c:pt idx="6">
                  <c:v>312</c:v>
                </c:pt>
                <c:pt idx="7">
                  <c:v>374</c:v>
                </c:pt>
                <c:pt idx="8">
                  <c:v>436</c:v>
                </c:pt>
                <c:pt idx="9">
                  <c:v>498</c:v>
                </c:pt>
                <c:pt idx="10">
                  <c:v>561</c:v>
                </c:pt>
                <c:pt idx="11">
                  <c:v>623</c:v>
                </c:pt>
                <c:pt idx="12">
                  <c:v>685</c:v>
                </c:pt>
                <c:pt idx="13">
                  <c:v>748</c:v>
                </c:pt>
                <c:pt idx="14">
                  <c:v>810</c:v>
                </c:pt>
                <c:pt idx="15">
                  <c:v>872</c:v>
                </c:pt>
                <c:pt idx="16">
                  <c:v>935</c:v>
                </c:pt>
                <c:pt idx="17">
                  <c:v>997</c:v>
                </c:pt>
                <c:pt idx="18">
                  <c:v>1059</c:v>
                </c:pt>
                <c:pt idx="19">
                  <c:v>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7A-4D7C-851D-B3C5B177700C}"/>
            </c:ext>
          </c:extLst>
        </c:ser>
        <c:ser>
          <c:idx val="5"/>
          <c:order val="5"/>
          <c:tx>
            <c:strRef>
              <c:f>'BASE-C90'!$G$1</c:f>
              <c:strCache>
                <c:ptCount val="1"/>
                <c:pt idx="0">
                  <c:v>C304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'BASE-C90'!$G$2:$G$21</c:f>
              <c:numCache>
                <c:formatCode>General</c:formatCode>
                <c:ptCount val="20"/>
                <c:pt idx="0">
                  <c:v>130</c:v>
                </c:pt>
                <c:pt idx="1">
                  <c:v>163</c:v>
                </c:pt>
                <c:pt idx="2">
                  <c:v>197</c:v>
                </c:pt>
                <c:pt idx="3">
                  <c:v>230</c:v>
                </c:pt>
                <c:pt idx="4">
                  <c:v>264</c:v>
                </c:pt>
                <c:pt idx="5">
                  <c:v>298</c:v>
                </c:pt>
                <c:pt idx="6">
                  <c:v>331</c:v>
                </c:pt>
                <c:pt idx="7">
                  <c:v>397</c:v>
                </c:pt>
                <c:pt idx="8">
                  <c:v>463</c:v>
                </c:pt>
                <c:pt idx="9">
                  <c:v>529</c:v>
                </c:pt>
                <c:pt idx="10">
                  <c:v>595</c:v>
                </c:pt>
                <c:pt idx="11">
                  <c:v>661</c:v>
                </c:pt>
                <c:pt idx="12">
                  <c:v>728</c:v>
                </c:pt>
                <c:pt idx="13">
                  <c:v>794</c:v>
                </c:pt>
                <c:pt idx="14">
                  <c:v>860</c:v>
                </c:pt>
                <c:pt idx="15">
                  <c:v>925</c:v>
                </c:pt>
                <c:pt idx="16">
                  <c:v>992</c:v>
                </c:pt>
                <c:pt idx="17">
                  <c:v>1059</c:v>
                </c:pt>
                <c:pt idx="18">
                  <c:v>1124</c:v>
                </c:pt>
                <c:pt idx="19">
                  <c:v>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7A-4D7C-851D-B3C5B177700C}"/>
            </c:ext>
          </c:extLst>
        </c:ser>
        <c:ser>
          <c:idx val="6"/>
          <c:order val="6"/>
          <c:tx>
            <c:strRef>
              <c:f>'BASE-C90'!$H$1</c:f>
              <c:strCache>
                <c:ptCount val="1"/>
                <c:pt idx="0">
                  <c:v>C336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'BASE-C90'!$H$2:$H$21</c:f>
              <c:numCache>
                <c:formatCode>General</c:formatCode>
                <c:ptCount val="20"/>
                <c:pt idx="0">
                  <c:v>164</c:v>
                </c:pt>
                <c:pt idx="1">
                  <c:v>204</c:v>
                </c:pt>
                <c:pt idx="2">
                  <c:v>245</c:v>
                </c:pt>
                <c:pt idx="3">
                  <c:v>285</c:v>
                </c:pt>
                <c:pt idx="4">
                  <c:v>325</c:v>
                </c:pt>
                <c:pt idx="5">
                  <c:v>365</c:v>
                </c:pt>
                <c:pt idx="6">
                  <c:v>405</c:v>
                </c:pt>
                <c:pt idx="7">
                  <c:v>486</c:v>
                </c:pt>
                <c:pt idx="8">
                  <c:v>568</c:v>
                </c:pt>
                <c:pt idx="9">
                  <c:v>648</c:v>
                </c:pt>
                <c:pt idx="10">
                  <c:v>730</c:v>
                </c:pt>
                <c:pt idx="11">
                  <c:v>811</c:v>
                </c:pt>
                <c:pt idx="12">
                  <c:v>891</c:v>
                </c:pt>
                <c:pt idx="13">
                  <c:v>973</c:v>
                </c:pt>
                <c:pt idx="14">
                  <c:v>1054</c:v>
                </c:pt>
                <c:pt idx="15">
                  <c:v>1135</c:v>
                </c:pt>
                <c:pt idx="16">
                  <c:v>1216</c:v>
                </c:pt>
                <c:pt idx="17">
                  <c:v>1297</c:v>
                </c:pt>
                <c:pt idx="18">
                  <c:v>1378</c:v>
                </c:pt>
                <c:pt idx="19">
                  <c:v>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7A-4D7C-851D-B3C5B177700C}"/>
            </c:ext>
          </c:extLst>
        </c:ser>
        <c:ser>
          <c:idx val="7"/>
          <c:order val="7"/>
          <c:tx>
            <c:strRef>
              <c:f>'BASE-C90'!$I$1</c:f>
              <c:strCache>
                <c:ptCount val="1"/>
                <c:pt idx="0">
                  <c:v>C368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'BASE-C90'!$I$2:$I$21</c:f>
              <c:numCache>
                <c:formatCode>General</c:formatCode>
                <c:ptCount val="20"/>
                <c:pt idx="0">
                  <c:v>189</c:v>
                </c:pt>
                <c:pt idx="1">
                  <c:v>235</c:v>
                </c:pt>
                <c:pt idx="2">
                  <c:v>281</c:v>
                </c:pt>
                <c:pt idx="3">
                  <c:v>328</c:v>
                </c:pt>
                <c:pt idx="4">
                  <c:v>374</c:v>
                </c:pt>
                <c:pt idx="5">
                  <c:v>420</c:v>
                </c:pt>
                <c:pt idx="6">
                  <c:v>466</c:v>
                </c:pt>
                <c:pt idx="7">
                  <c:v>559</c:v>
                </c:pt>
                <c:pt idx="8">
                  <c:v>654</c:v>
                </c:pt>
                <c:pt idx="9">
                  <c:v>746</c:v>
                </c:pt>
                <c:pt idx="10">
                  <c:v>840</c:v>
                </c:pt>
                <c:pt idx="11">
                  <c:v>933</c:v>
                </c:pt>
                <c:pt idx="12">
                  <c:v>1026</c:v>
                </c:pt>
                <c:pt idx="13">
                  <c:v>1120</c:v>
                </c:pt>
                <c:pt idx="14">
                  <c:v>1213</c:v>
                </c:pt>
                <c:pt idx="15">
                  <c:v>1306</c:v>
                </c:pt>
                <c:pt idx="16">
                  <c:v>1399</c:v>
                </c:pt>
                <c:pt idx="17">
                  <c:v>1493</c:v>
                </c:pt>
                <c:pt idx="18">
                  <c:v>1586</c:v>
                </c:pt>
                <c:pt idx="19">
                  <c:v>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7A-4D7C-851D-B3C5B177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617344"/>
        <c:axId val="110618880"/>
      </c:lineChart>
      <c:catAx>
        <c:axId val="110617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618880"/>
        <c:crosses val="autoZero"/>
        <c:auto val="1"/>
        <c:lblAlgn val="ctr"/>
        <c:lblOffset val="100"/>
        <c:noMultiLvlLbl val="0"/>
      </c:catAx>
      <c:valAx>
        <c:axId val="11061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61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'BASE-C109'!$B$1</c:f>
              <c:strCache>
                <c:ptCount val="1"/>
                <c:pt idx="0">
                  <c:v>C144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'BASE-C109'!$A$2:$A$21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'BASE-C109'!$B$2:$B$21</c:f>
              <c:numCache>
                <c:formatCode>General</c:formatCode>
                <c:ptCount val="20"/>
                <c:pt idx="0">
                  <c:v>78</c:v>
                </c:pt>
                <c:pt idx="1">
                  <c:v>98</c:v>
                </c:pt>
                <c:pt idx="2">
                  <c:v>118</c:v>
                </c:pt>
                <c:pt idx="3">
                  <c:v>138</c:v>
                </c:pt>
                <c:pt idx="4">
                  <c:v>158</c:v>
                </c:pt>
                <c:pt idx="5">
                  <c:v>177</c:v>
                </c:pt>
                <c:pt idx="6">
                  <c:v>196</c:v>
                </c:pt>
                <c:pt idx="7">
                  <c:v>236</c:v>
                </c:pt>
                <c:pt idx="8">
                  <c:v>275</c:v>
                </c:pt>
                <c:pt idx="9">
                  <c:v>314</c:v>
                </c:pt>
                <c:pt idx="10">
                  <c:v>354</c:v>
                </c:pt>
                <c:pt idx="11">
                  <c:v>393</c:v>
                </c:pt>
                <c:pt idx="12">
                  <c:v>432</c:v>
                </c:pt>
                <c:pt idx="13">
                  <c:v>472</c:v>
                </c:pt>
                <c:pt idx="14">
                  <c:v>511</c:v>
                </c:pt>
                <c:pt idx="15">
                  <c:v>551</c:v>
                </c:pt>
                <c:pt idx="16">
                  <c:v>590</c:v>
                </c:pt>
                <c:pt idx="17">
                  <c:v>629</c:v>
                </c:pt>
                <c:pt idx="18">
                  <c:v>669</c:v>
                </c:pt>
                <c:pt idx="19">
                  <c:v>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F5-4C07-825B-2AA13B3411EA}"/>
            </c:ext>
          </c:extLst>
        </c:ser>
        <c:ser>
          <c:idx val="1"/>
          <c:order val="1"/>
          <c:tx>
            <c:strRef>
              <c:f>'BASE-C109'!$C$1</c:f>
              <c:strCache>
                <c:ptCount val="1"/>
                <c:pt idx="0">
                  <c:v>C176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'BASE-C109'!$A$2:$A$21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'BASE-C109'!$C$2:$C$21</c:f>
              <c:numCache>
                <c:formatCode>General</c:formatCode>
                <c:ptCount val="20"/>
                <c:pt idx="0">
                  <c:v>96</c:v>
                </c:pt>
                <c:pt idx="1">
                  <c:v>120</c:v>
                </c:pt>
                <c:pt idx="2">
                  <c:v>144</c:v>
                </c:pt>
                <c:pt idx="3">
                  <c:v>168</c:v>
                </c:pt>
                <c:pt idx="4">
                  <c:v>193</c:v>
                </c:pt>
                <c:pt idx="5">
                  <c:v>217</c:v>
                </c:pt>
                <c:pt idx="6">
                  <c:v>241</c:v>
                </c:pt>
                <c:pt idx="7">
                  <c:v>288</c:v>
                </c:pt>
                <c:pt idx="8">
                  <c:v>338</c:v>
                </c:pt>
                <c:pt idx="9">
                  <c:v>385</c:v>
                </c:pt>
                <c:pt idx="10">
                  <c:v>433</c:v>
                </c:pt>
                <c:pt idx="11">
                  <c:v>482</c:v>
                </c:pt>
                <c:pt idx="12">
                  <c:v>529</c:v>
                </c:pt>
                <c:pt idx="13">
                  <c:v>578</c:v>
                </c:pt>
                <c:pt idx="14">
                  <c:v>626</c:v>
                </c:pt>
                <c:pt idx="15">
                  <c:v>674</c:v>
                </c:pt>
                <c:pt idx="16">
                  <c:v>723</c:v>
                </c:pt>
                <c:pt idx="17">
                  <c:v>771</c:v>
                </c:pt>
                <c:pt idx="18">
                  <c:v>819</c:v>
                </c:pt>
                <c:pt idx="19">
                  <c:v>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F5-4C07-825B-2AA13B3411EA}"/>
            </c:ext>
          </c:extLst>
        </c:ser>
        <c:ser>
          <c:idx val="2"/>
          <c:order val="2"/>
          <c:tx>
            <c:strRef>
              <c:f>'BASE-C109'!$D$1</c:f>
              <c:strCache>
                <c:ptCount val="1"/>
                <c:pt idx="0">
                  <c:v>C224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'BASE-C109'!$A$2:$A$21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'BASE-C109'!$D$2:$D$21</c:f>
              <c:numCache>
                <c:formatCode>General</c:formatCode>
                <c:ptCount val="20"/>
                <c:pt idx="0">
                  <c:v>127</c:v>
                </c:pt>
                <c:pt idx="1">
                  <c:v>160</c:v>
                </c:pt>
                <c:pt idx="2">
                  <c:v>192</c:v>
                </c:pt>
                <c:pt idx="3">
                  <c:v>225</c:v>
                </c:pt>
                <c:pt idx="4">
                  <c:v>258</c:v>
                </c:pt>
                <c:pt idx="5">
                  <c:v>290</c:v>
                </c:pt>
                <c:pt idx="6">
                  <c:v>322</c:v>
                </c:pt>
                <c:pt idx="7">
                  <c:v>386</c:v>
                </c:pt>
                <c:pt idx="8">
                  <c:v>452</c:v>
                </c:pt>
                <c:pt idx="9">
                  <c:v>515</c:v>
                </c:pt>
                <c:pt idx="10">
                  <c:v>580</c:v>
                </c:pt>
                <c:pt idx="11">
                  <c:v>645</c:v>
                </c:pt>
                <c:pt idx="12">
                  <c:v>709</c:v>
                </c:pt>
                <c:pt idx="13">
                  <c:v>774</c:v>
                </c:pt>
                <c:pt idx="14">
                  <c:v>838</c:v>
                </c:pt>
                <c:pt idx="15">
                  <c:v>902</c:v>
                </c:pt>
                <c:pt idx="16">
                  <c:v>967</c:v>
                </c:pt>
                <c:pt idx="17">
                  <c:v>1032</c:v>
                </c:pt>
                <c:pt idx="18">
                  <c:v>1096</c:v>
                </c:pt>
                <c:pt idx="19">
                  <c:v>1161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F5-4C07-825B-2AA13B3411EA}"/>
            </c:ext>
          </c:extLst>
        </c:ser>
        <c:ser>
          <c:idx val="3"/>
          <c:order val="3"/>
          <c:tx>
            <c:strRef>
              <c:f>'BASE-C109'!$E$1</c:f>
              <c:strCache>
                <c:ptCount val="1"/>
                <c:pt idx="0">
                  <c:v>C240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'BASE-C109'!$A$2:$A$21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'BASE-C109'!$E$2:$E$21</c:f>
              <c:numCache>
                <c:formatCode>General</c:formatCode>
                <c:ptCount val="20"/>
                <c:pt idx="0">
                  <c:v>131</c:v>
                </c:pt>
                <c:pt idx="1">
                  <c:v>164</c:v>
                </c:pt>
                <c:pt idx="2">
                  <c:v>198</c:v>
                </c:pt>
                <c:pt idx="3">
                  <c:v>231</c:v>
                </c:pt>
                <c:pt idx="4">
                  <c:v>265</c:v>
                </c:pt>
                <c:pt idx="5">
                  <c:v>299</c:v>
                </c:pt>
                <c:pt idx="6">
                  <c:v>331</c:v>
                </c:pt>
                <c:pt idx="7">
                  <c:v>397</c:v>
                </c:pt>
                <c:pt idx="8">
                  <c:v>464</c:v>
                </c:pt>
                <c:pt idx="9">
                  <c:v>530</c:v>
                </c:pt>
                <c:pt idx="10">
                  <c:v>596</c:v>
                </c:pt>
                <c:pt idx="11">
                  <c:v>663</c:v>
                </c:pt>
                <c:pt idx="12">
                  <c:v>729</c:v>
                </c:pt>
                <c:pt idx="13">
                  <c:v>796</c:v>
                </c:pt>
                <c:pt idx="14">
                  <c:v>861</c:v>
                </c:pt>
                <c:pt idx="15">
                  <c:v>928</c:v>
                </c:pt>
                <c:pt idx="16">
                  <c:v>994</c:v>
                </c:pt>
                <c:pt idx="17">
                  <c:v>1061</c:v>
                </c:pt>
                <c:pt idx="18">
                  <c:v>1127</c:v>
                </c:pt>
                <c:pt idx="19">
                  <c:v>1194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F5-4C07-825B-2AA13B3411EA}"/>
            </c:ext>
          </c:extLst>
        </c:ser>
        <c:ser>
          <c:idx val="4"/>
          <c:order val="4"/>
          <c:tx>
            <c:strRef>
              <c:f>'BASE-C109'!$F$1</c:f>
              <c:strCache>
                <c:ptCount val="1"/>
                <c:pt idx="0">
                  <c:v>C272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'BASE-C109'!$A$2:$A$21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'BASE-C109'!$F$2:$F$21</c:f>
              <c:numCache>
                <c:formatCode>General</c:formatCode>
                <c:ptCount val="20"/>
                <c:pt idx="0">
                  <c:v>145</c:v>
                </c:pt>
                <c:pt idx="1">
                  <c:v>182</c:v>
                </c:pt>
                <c:pt idx="2">
                  <c:v>220</c:v>
                </c:pt>
                <c:pt idx="3">
                  <c:v>257</c:v>
                </c:pt>
                <c:pt idx="4">
                  <c:v>294</c:v>
                </c:pt>
                <c:pt idx="5">
                  <c:v>331</c:v>
                </c:pt>
                <c:pt idx="6">
                  <c:v>368</c:v>
                </c:pt>
                <c:pt idx="7">
                  <c:v>441</c:v>
                </c:pt>
                <c:pt idx="8">
                  <c:v>515</c:v>
                </c:pt>
                <c:pt idx="9">
                  <c:v>588</c:v>
                </c:pt>
                <c:pt idx="10">
                  <c:v>662</c:v>
                </c:pt>
                <c:pt idx="11">
                  <c:v>735</c:v>
                </c:pt>
                <c:pt idx="12">
                  <c:v>808</c:v>
                </c:pt>
                <c:pt idx="13">
                  <c:v>883</c:v>
                </c:pt>
                <c:pt idx="14">
                  <c:v>956</c:v>
                </c:pt>
                <c:pt idx="15">
                  <c:v>1030</c:v>
                </c:pt>
                <c:pt idx="16">
                  <c:v>1103</c:v>
                </c:pt>
                <c:pt idx="17">
                  <c:v>1177</c:v>
                </c:pt>
                <c:pt idx="18">
                  <c:v>1251</c:v>
                </c:pt>
                <c:pt idx="19">
                  <c:v>1324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F5-4C07-825B-2AA13B3411EA}"/>
            </c:ext>
          </c:extLst>
        </c:ser>
        <c:ser>
          <c:idx val="5"/>
          <c:order val="5"/>
          <c:tx>
            <c:strRef>
              <c:f>'BASE-C109'!$G$1</c:f>
              <c:strCache>
                <c:ptCount val="1"/>
                <c:pt idx="0">
                  <c:v>C304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'BASE-C109'!$A$2:$A$21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'BASE-C109'!$G$2:$G$21</c:f>
              <c:numCache>
                <c:formatCode>General</c:formatCode>
                <c:ptCount val="20"/>
                <c:pt idx="0">
                  <c:v>154</c:v>
                </c:pt>
                <c:pt idx="1">
                  <c:v>194</c:v>
                </c:pt>
                <c:pt idx="2">
                  <c:v>233</c:v>
                </c:pt>
                <c:pt idx="3">
                  <c:v>273</c:v>
                </c:pt>
                <c:pt idx="4">
                  <c:v>312</c:v>
                </c:pt>
                <c:pt idx="5">
                  <c:v>352</c:v>
                </c:pt>
                <c:pt idx="6">
                  <c:v>390</c:v>
                </c:pt>
                <c:pt idx="7">
                  <c:v>468</c:v>
                </c:pt>
                <c:pt idx="8">
                  <c:v>547</c:v>
                </c:pt>
                <c:pt idx="9">
                  <c:v>624</c:v>
                </c:pt>
                <c:pt idx="10">
                  <c:v>703</c:v>
                </c:pt>
                <c:pt idx="11">
                  <c:v>781</c:v>
                </c:pt>
                <c:pt idx="12">
                  <c:v>858</c:v>
                </c:pt>
                <c:pt idx="13">
                  <c:v>937</c:v>
                </c:pt>
                <c:pt idx="14">
                  <c:v>1015</c:v>
                </c:pt>
                <c:pt idx="15">
                  <c:v>1093</c:v>
                </c:pt>
                <c:pt idx="16">
                  <c:v>1171</c:v>
                </c:pt>
                <c:pt idx="17">
                  <c:v>1250</c:v>
                </c:pt>
                <c:pt idx="18">
                  <c:v>1328</c:v>
                </c:pt>
                <c:pt idx="19">
                  <c:v>1406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F5-4C07-825B-2AA13B3411EA}"/>
            </c:ext>
          </c:extLst>
        </c:ser>
        <c:ser>
          <c:idx val="6"/>
          <c:order val="6"/>
          <c:tx>
            <c:strRef>
              <c:f>'BASE-C109'!$H$1</c:f>
              <c:strCache>
                <c:ptCount val="1"/>
                <c:pt idx="0">
                  <c:v>C336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'BASE-C109'!$A$2:$A$21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'BASE-C109'!$H$2:$H$21</c:f>
              <c:numCache>
                <c:formatCode>General</c:formatCode>
                <c:ptCount val="20"/>
                <c:pt idx="0">
                  <c:v>185</c:v>
                </c:pt>
                <c:pt idx="1">
                  <c:v>232</c:v>
                </c:pt>
                <c:pt idx="2">
                  <c:v>279</c:v>
                </c:pt>
                <c:pt idx="3">
                  <c:v>326</c:v>
                </c:pt>
                <c:pt idx="4">
                  <c:v>372</c:v>
                </c:pt>
                <c:pt idx="5">
                  <c:v>419</c:v>
                </c:pt>
                <c:pt idx="6">
                  <c:v>466</c:v>
                </c:pt>
                <c:pt idx="7">
                  <c:v>559</c:v>
                </c:pt>
                <c:pt idx="8">
                  <c:v>652</c:v>
                </c:pt>
                <c:pt idx="9">
                  <c:v>745</c:v>
                </c:pt>
                <c:pt idx="10">
                  <c:v>838</c:v>
                </c:pt>
                <c:pt idx="11">
                  <c:v>931</c:v>
                </c:pt>
                <c:pt idx="12">
                  <c:v>1025</c:v>
                </c:pt>
                <c:pt idx="13">
                  <c:v>1118</c:v>
                </c:pt>
                <c:pt idx="14">
                  <c:v>1211</c:v>
                </c:pt>
                <c:pt idx="15">
                  <c:v>1304</c:v>
                </c:pt>
                <c:pt idx="16">
                  <c:v>1397</c:v>
                </c:pt>
                <c:pt idx="17">
                  <c:v>1491</c:v>
                </c:pt>
                <c:pt idx="18">
                  <c:v>1583</c:v>
                </c:pt>
                <c:pt idx="19">
                  <c:v>1676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0F5-4C07-825B-2AA13B3411EA}"/>
            </c:ext>
          </c:extLst>
        </c:ser>
        <c:ser>
          <c:idx val="7"/>
          <c:order val="7"/>
          <c:tx>
            <c:strRef>
              <c:f>'BASE-C109'!$I$1</c:f>
              <c:strCache>
                <c:ptCount val="1"/>
                <c:pt idx="0">
                  <c:v>C368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'BASE-C109'!$A$2:$A$21</c:f>
              <c:numCache>
                <c:formatCode>General</c:formatCode>
                <c:ptCount val="20"/>
                <c:pt idx="0">
                  <c:v>750</c:v>
                </c:pt>
                <c:pt idx="1">
                  <c:v>850</c:v>
                </c:pt>
                <c:pt idx="2">
                  <c:v>950</c:v>
                </c:pt>
                <c:pt idx="3">
                  <c:v>1050</c:v>
                </c:pt>
                <c:pt idx="4">
                  <c:v>1150</c:v>
                </c:pt>
                <c:pt idx="5">
                  <c:v>1250</c:v>
                </c:pt>
                <c:pt idx="6">
                  <c:v>1350</c:v>
                </c:pt>
                <c:pt idx="7">
                  <c:v>1550</c:v>
                </c:pt>
                <c:pt idx="8">
                  <c:v>1750</c:v>
                </c:pt>
                <c:pt idx="9">
                  <c:v>1950</c:v>
                </c:pt>
                <c:pt idx="10">
                  <c:v>2150</c:v>
                </c:pt>
                <c:pt idx="11">
                  <c:v>2350</c:v>
                </c:pt>
                <c:pt idx="12">
                  <c:v>2550</c:v>
                </c:pt>
                <c:pt idx="13">
                  <c:v>2750</c:v>
                </c:pt>
                <c:pt idx="14">
                  <c:v>2950</c:v>
                </c:pt>
                <c:pt idx="15">
                  <c:v>3150</c:v>
                </c:pt>
                <c:pt idx="16">
                  <c:v>3350</c:v>
                </c:pt>
                <c:pt idx="17">
                  <c:v>3550</c:v>
                </c:pt>
                <c:pt idx="18">
                  <c:v>3750</c:v>
                </c:pt>
                <c:pt idx="19">
                  <c:v>3950</c:v>
                </c:pt>
              </c:numCache>
            </c:numRef>
          </c:xVal>
          <c:yVal>
            <c:numRef>
              <c:f>'BASE-C109'!$I$2:$I$21</c:f>
              <c:numCache>
                <c:formatCode>General</c:formatCode>
                <c:ptCount val="20"/>
                <c:pt idx="0">
                  <c:v>213</c:v>
                </c:pt>
                <c:pt idx="1">
                  <c:v>267</c:v>
                </c:pt>
                <c:pt idx="2">
                  <c:v>321</c:v>
                </c:pt>
                <c:pt idx="3">
                  <c:v>375</c:v>
                </c:pt>
                <c:pt idx="4">
                  <c:v>428</c:v>
                </c:pt>
                <c:pt idx="5">
                  <c:v>482</c:v>
                </c:pt>
                <c:pt idx="6">
                  <c:v>536</c:v>
                </c:pt>
                <c:pt idx="7">
                  <c:v>643</c:v>
                </c:pt>
                <c:pt idx="8">
                  <c:v>750</c:v>
                </c:pt>
                <c:pt idx="9">
                  <c:v>858</c:v>
                </c:pt>
                <c:pt idx="10">
                  <c:v>964</c:v>
                </c:pt>
                <c:pt idx="11">
                  <c:v>1072</c:v>
                </c:pt>
                <c:pt idx="12">
                  <c:v>1179</c:v>
                </c:pt>
                <c:pt idx="13">
                  <c:v>1286</c:v>
                </c:pt>
                <c:pt idx="14">
                  <c:v>1394</c:v>
                </c:pt>
                <c:pt idx="15">
                  <c:v>1500</c:v>
                </c:pt>
                <c:pt idx="16">
                  <c:v>1608</c:v>
                </c:pt>
                <c:pt idx="17">
                  <c:v>1715</c:v>
                </c:pt>
                <c:pt idx="18">
                  <c:v>1822</c:v>
                </c:pt>
                <c:pt idx="19">
                  <c:v>1929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F5-4C07-825B-2AA13B341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60288"/>
        <c:axId val="110466176"/>
      </c:scatterChart>
      <c:valAx>
        <c:axId val="110460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10466176"/>
        <c:crosses val="autoZero"/>
        <c:crossBetween val="midCat"/>
      </c:valAx>
      <c:valAx>
        <c:axId val="11046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46028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'BASE-C109'!$B$1</c:f>
              <c:strCache>
                <c:ptCount val="1"/>
                <c:pt idx="0">
                  <c:v>C144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'BASE-C109'!$B$2:$B$21</c:f>
              <c:numCache>
                <c:formatCode>General</c:formatCode>
                <c:ptCount val="20"/>
                <c:pt idx="0">
                  <c:v>78</c:v>
                </c:pt>
                <c:pt idx="1">
                  <c:v>98</c:v>
                </c:pt>
                <c:pt idx="2">
                  <c:v>118</c:v>
                </c:pt>
                <c:pt idx="3">
                  <c:v>138</c:v>
                </c:pt>
                <c:pt idx="4">
                  <c:v>158</c:v>
                </c:pt>
                <c:pt idx="5">
                  <c:v>177</c:v>
                </c:pt>
                <c:pt idx="6">
                  <c:v>196</c:v>
                </c:pt>
                <c:pt idx="7">
                  <c:v>236</c:v>
                </c:pt>
                <c:pt idx="8">
                  <c:v>275</c:v>
                </c:pt>
                <c:pt idx="9">
                  <c:v>314</c:v>
                </c:pt>
                <c:pt idx="10">
                  <c:v>354</c:v>
                </c:pt>
                <c:pt idx="11">
                  <c:v>393</c:v>
                </c:pt>
                <c:pt idx="12">
                  <c:v>432</c:v>
                </c:pt>
                <c:pt idx="13">
                  <c:v>472</c:v>
                </c:pt>
                <c:pt idx="14">
                  <c:v>511</c:v>
                </c:pt>
                <c:pt idx="15">
                  <c:v>551</c:v>
                </c:pt>
                <c:pt idx="16">
                  <c:v>590</c:v>
                </c:pt>
                <c:pt idx="17">
                  <c:v>629</c:v>
                </c:pt>
                <c:pt idx="18">
                  <c:v>669</c:v>
                </c:pt>
                <c:pt idx="19">
                  <c:v>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C-4BA0-B83B-81AC33047C9C}"/>
            </c:ext>
          </c:extLst>
        </c:ser>
        <c:ser>
          <c:idx val="1"/>
          <c:order val="1"/>
          <c:tx>
            <c:strRef>
              <c:f>'BASE-C109'!$C$1</c:f>
              <c:strCache>
                <c:ptCount val="1"/>
                <c:pt idx="0">
                  <c:v>C176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'BASE-C109'!$C$2:$C$21</c:f>
              <c:numCache>
                <c:formatCode>General</c:formatCode>
                <c:ptCount val="20"/>
                <c:pt idx="0">
                  <c:v>96</c:v>
                </c:pt>
                <c:pt idx="1">
                  <c:v>120</c:v>
                </c:pt>
                <c:pt idx="2">
                  <c:v>144</c:v>
                </c:pt>
                <c:pt idx="3">
                  <c:v>168</c:v>
                </c:pt>
                <c:pt idx="4">
                  <c:v>193</c:v>
                </c:pt>
                <c:pt idx="5">
                  <c:v>217</c:v>
                </c:pt>
                <c:pt idx="6">
                  <c:v>241</c:v>
                </c:pt>
                <c:pt idx="7">
                  <c:v>288</c:v>
                </c:pt>
                <c:pt idx="8">
                  <c:v>338</c:v>
                </c:pt>
                <c:pt idx="9">
                  <c:v>385</c:v>
                </c:pt>
                <c:pt idx="10">
                  <c:v>433</c:v>
                </c:pt>
                <c:pt idx="11">
                  <c:v>482</c:v>
                </c:pt>
                <c:pt idx="12">
                  <c:v>529</c:v>
                </c:pt>
                <c:pt idx="13">
                  <c:v>578</c:v>
                </c:pt>
                <c:pt idx="14">
                  <c:v>626</c:v>
                </c:pt>
                <c:pt idx="15">
                  <c:v>674</c:v>
                </c:pt>
                <c:pt idx="16">
                  <c:v>723</c:v>
                </c:pt>
                <c:pt idx="17">
                  <c:v>771</c:v>
                </c:pt>
                <c:pt idx="18">
                  <c:v>819</c:v>
                </c:pt>
                <c:pt idx="19">
                  <c:v>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AC-4BA0-B83B-81AC33047C9C}"/>
            </c:ext>
          </c:extLst>
        </c:ser>
        <c:ser>
          <c:idx val="2"/>
          <c:order val="2"/>
          <c:tx>
            <c:strRef>
              <c:f>'BASE-C109'!$D$1</c:f>
              <c:strCache>
                <c:ptCount val="1"/>
                <c:pt idx="0">
                  <c:v>C224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'BASE-C109'!$D$2:$D$21</c:f>
              <c:numCache>
                <c:formatCode>General</c:formatCode>
                <c:ptCount val="20"/>
                <c:pt idx="0">
                  <c:v>127</c:v>
                </c:pt>
                <c:pt idx="1">
                  <c:v>160</c:v>
                </c:pt>
                <c:pt idx="2">
                  <c:v>192</c:v>
                </c:pt>
                <c:pt idx="3">
                  <c:v>225</c:v>
                </c:pt>
                <c:pt idx="4">
                  <c:v>258</c:v>
                </c:pt>
                <c:pt idx="5">
                  <c:v>290</c:v>
                </c:pt>
                <c:pt idx="6">
                  <c:v>322</c:v>
                </c:pt>
                <c:pt idx="7">
                  <c:v>386</c:v>
                </c:pt>
                <c:pt idx="8">
                  <c:v>452</c:v>
                </c:pt>
                <c:pt idx="9">
                  <c:v>515</c:v>
                </c:pt>
                <c:pt idx="10">
                  <c:v>580</c:v>
                </c:pt>
                <c:pt idx="11">
                  <c:v>645</c:v>
                </c:pt>
                <c:pt idx="12">
                  <c:v>709</c:v>
                </c:pt>
                <c:pt idx="13">
                  <c:v>774</c:v>
                </c:pt>
                <c:pt idx="14">
                  <c:v>838</c:v>
                </c:pt>
                <c:pt idx="15">
                  <c:v>902</c:v>
                </c:pt>
                <c:pt idx="16">
                  <c:v>967</c:v>
                </c:pt>
                <c:pt idx="17">
                  <c:v>1032</c:v>
                </c:pt>
                <c:pt idx="18">
                  <c:v>1096</c:v>
                </c:pt>
                <c:pt idx="19">
                  <c:v>1161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C-4BA0-B83B-81AC33047C9C}"/>
            </c:ext>
          </c:extLst>
        </c:ser>
        <c:ser>
          <c:idx val="3"/>
          <c:order val="3"/>
          <c:tx>
            <c:strRef>
              <c:f>'BASE-C109'!$E$1</c:f>
              <c:strCache>
                <c:ptCount val="1"/>
                <c:pt idx="0">
                  <c:v>C240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'BASE-C109'!$E$2:$E$21</c:f>
              <c:numCache>
                <c:formatCode>General</c:formatCode>
                <c:ptCount val="20"/>
                <c:pt idx="0">
                  <c:v>131</c:v>
                </c:pt>
                <c:pt idx="1">
                  <c:v>164</c:v>
                </c:pt>
                <c:pt idx="2">
                  <c:v>198</c:v>
                </c:pt>
                <c:pt idx="3">
                  <c:v>231</c:v>
                </c:pt>
                <c:pt idx="4">
                  <c:v>265</c:v>
                </c:pt>
                <c:pt idx="5">
                  <c:v>299</c:v>
                </c:pt>
                <c:pt idx="6">
                  <c:v>331</c:v>
                </c:pt>
                <c:pt idx="7">
                  <c:v>397</c:v>
                </c:pt>
                <c:pt idx="8">
                  <c:v>464</c:v>
                </c:pt>
                <c:pt idx="9">
                  <c:v>530</c:v>
                </c:pt>
                <c:pt idx="10">
                  <c:v>596</c:v>
                </c:pt>
                <c:pt idx="11">
                  <c:v>663</c:v>
                </c:pt>
                <c:pt idx="12">
                  <c:v>729</c:v>
                </c:pt>
                <c:pt idx="13">
                  <c:v>796</c:v>
                </c:pt>
                <c:pt idx="14">
                  <c:v>861</c:v>
                </c:pt>
                <c:pt idx="15">
                  <c:v>928</c:v>
                </c:pt>
                <c:pt idx="16">
                  <c:v>994</c:v>
                </c:pt>
                <c:pt idx="17">
                  <c:v>1061</c:v>
                </c:pt>
                <c:pt idx="18">
                  <c:v>1127</c:v>
                </c:pt>
                <c:pt idx="19">
                  <c:v>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AC-4BA0-B83B-81AC33047C9C}"/>
            </c:ext>
          </c:extLst>
        </c:ser>
        <c:ser>
          <c:idx val="4"/>
          <c:order val="4"/>
          <c:tx>
            <c:strRef>
              <c:f>'BASE-C109'!$F$1</c:f>
              <c:strCache>
                <c:ptCount val="1"/>
                <c:pt idx="0">
                  <c:v>C272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'BASE-C109'!$F$2:$F$21</c:f>
              <c:numCache>
                <c:formatCode>General</c:formatCode>
                <c:ptCount val="20"/>
                <c:pt idx="0">
                  <c:v>145</c:v>
                </c:pt>
                <c:pt idx="1">
                  <c:v>182</c:v>
                </c:pt>
                <c:pt idx="2">
                  <c:v>220</c:v>
                </c:pt>
                <c:pt idx="3">
                  <c:v>257</c:v>
                </c:pt>
                <c:pt idx="4">
                  <c:v>294</c:v>
                </c:pt>
                <c:pt idx="5">
                  <c:v>331</c:v>
                </c:pt>
                <c:pt idx="6">
                  <c:v>368</c:v>
                </c:pt>
                <c:pt idx="7">
                  <c:v>441</c:v>
                </c:pt>
                <c:pt idx="8">
                  <c:v>515</c:v>
                </c:pt>
                <c:pt idx="9">
                  <c:v>588</c:v>
                </c:pt>
                <c:pt idx="10">
                  <c:v>662</c:v>
                </c:pt>
                <c:pt idx="11">
                  <c:v>735</c:v>
                </c:pt>
                <c:pt idx="12">
                  <c:v>808</c:v>
                </c:pt>
                <c:pt idx="13">
                  <c:v>883</c:v>
                </c:pt>
                <c:pt idx="14">
                  <c:v>956</c:v>
                </c:pt>
                <c:pt idx="15">
                  <c:v>1030</c:v>
                </c:pt>
                <c:pt idx="16">
                  <c:v>1103</c:v>
                </c:pt>
                <c:pt idx="17">
                  <c:v>1177</c:v>
                </c:pt>
                <c:pt idx="18">
                  <c:v>1251</c:v>
                </c:pt>
                <c:pt idx="19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AC-4BA0-B83B-81AC33047C9C}"/>
            </c:ext>
          </c:extLst>
        </c:ser>
        <c:ser>
          <c:idx val="5"/>
          <c:order val="5"/>
          <c:tx>
            <c:strRef>
              <c:f>'BASE-C109'!$G$1</c:f>
              <c:strCache>
                <c:ptCount val="1"/>
                <c:pt idx="0">
                  <c:v>C304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'BASE-C109'!$G$2:$G$21</c:f>
              <c:numCache>
                <c:formatCode>General</c:formatCode>
                <c:ptCount val="20"/>
                <c:pt idx="0">
                  <c:v>154</c:v>
                </c:pt>
                <c:pt idx="1">
                  <c:v>194</c:v>
                </c:pt>
                <c:pt idx="2">
                  <c:v>233</c:v>
                </c:pt>
                <c:pt idx="3">
                  <c:v>273</c:v>
                </c:pt>
                <c:pt idx="4">
                  <c:v>312</c:v>
                </c:pt>
                <c:pt idx="5">
                  <c:v>352</c:v>
                </c:pt>
                <c:pt idx="6">
                  <c:v>390</c:v>
                </c:pt>
                <c:pt idx="7">
                  <c:v>468</c:v>
                </c:pt>
                <c:pt idx="8">
                  <c:v>547</c:v>
                </c:pt>
                <c:pt idx="9">
                  <c:v>624</c:v>
                </c:pt>
                <c:pt idx="10">
                  <c:v>703</c:v>
                </c:pt>
                <c:pt idx="11">
                  <c:v>781</c:v>
                </c:pt>
                <c:pt idx="12">
                  <c:v>858</c:v>
                </c:pt>
                <c:pt idx="13">
                  <c:v>937</c:v>
                </c:pt>
                <c:pt idx="14">
                  <c:v>1015</c:v>
                </c:pt>
                <c:pt idx="15">
                  <c:v>1093</c:v>
                </c:pt>
                <c:pt idx="16">
                  <c:v>1171</c:v>
                </c:pt>
                <c:pt idx="17">
                  <c:v>1250</c:v>
                </c:pt>
                <c:pt idx="18">
                  <c:v>1328</c:v>
                </c:pt>
                <c:pt idx="19">
                  <c:v>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AC-4BA0-B83B-81AC33047C9C}"/>
            </c:ext>
          </c:extLst>
        </c:ser>
        <c:ser>
          <c:idx val="6"/>
          <c:order val="6"/>
          <c:tx>
            <c:strRef>
              <c:f>'BASE-C109'!$H$1</c:f>
              <c:strCache>
                <c:ptCount val="1"/>
                <c:pt idx="0">
                  <c:v>C336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'BASE-C109'!$H$2:$H$21</c:f>
              <c:numCache>
                <c:formatCode>General</c:formatCode>
                <c:ptCount val="20"/>
                <c:pt idx="0">
                  <c:v>185</c:v>
                </c:pt>
                <c:pt idx="1">
                  <c:v>232</c:v>
                </c:pt>
                <c:pt idx="2">
                  <c:v>279</c:v>
                </c:pt>
                <c:pt idx="3">
                  <c:v>326</c:v>
                </c:pt>
                <c:pt idx="4">
                  <c:v>372</c:v>
                </c:pt>
                <c:pt idx="5">
                  <c:v>419</c:v>
                </c:pt>
                <c:pt idx="6">
                  <c:v>466</c:v>
                </c:pt>
                <c:pt idx="7">
                  <c:v>559</c:v>
                </c:pt>
                <c:pt idx="8">
                  <c:v>652</c:v>
                </c:pt>
                <c:pt idx="9">
                  <c:v>745</c:v>
                </c:pt>
                <c:pt idx="10">
                  <c:v>838</c:v>
                </c:pt>
                <c:pt idx="11">
                  <c:v>931</c:v>
                </c:pt>
                <c:pt idx="12">
                  <c:v>1025</c:v>
                </c:pt>
                <c:pt idx="13">
                  <c:v>1118</c:v>
                </c:pt>
                <c:pt idx="14">
                  <c:v>1211</c:v>
                </c:pt>
                <c:pt idx="15">
                  <c:v>1304</c:v>
                </c:pt>
                <c:pt idx="16">
                  <c:v>1397</c:v>
                </c:pt>
                <c:pt idx="17">
                  <c:v>1491</c:v>
                </c:pt>
                <c:pt idx="18">
                  <c:v>1583</c:v>
                </c:pt>
                <c:pt idx="19">
                  <c:v>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AC-4BA0-B83B-81AC33047C9C}"/>
            </c:ext>
          </c:extLst>
        </c:ser>
        <c:ser>
          <c:idx val="7"/>
          <c:order val="7"/>
          <c:tx>
            <c:strRef>
              <c:f>'BASE-C109'!$I$1</c:f>
              <c:strCache>
                <c:ptCount val="1"/>
                <c:pt idx="0">
                  <c:v>C368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'BASE-C109'!$I$2:$I$21</c:f>
              <c:numCache>
                <c:formatCode>General</c:formatCode>
                <c:ptCount val="20"/>
                <c:pt idx="0">
                  <c:v>213</c:v>
                </c:pt>
                <c:pt idx="1">
                  <c:v>267</c:v>
                </c:pt>
                <c:pt idx="2">
                  <c:v>321</c:v>
                </c:pt>
                <c:pt idx="3">
                  <c:v>375</c:v>
                </c:pt>
                <c:pt idx="4">
                  <c:v>428</c:v>
                </c:pt>
                <c:pt idx="5">
                  <c:v>482</c:v>
                </c:pt>
                <c:pt idx="6">
                  <c:v>536</c:v>
                </c:pt>
                <c:pt idx="7">
                  <c:v>643</c:v>
                </c:pt>
                <c:pt idx="8">
                  <c:v>750</c:v>
                </c:pt>
                <c:pt idx="9">
                  <c:v>858</c:v>
                </c:pt>
                <c:pt idx="10">
                  <c:v>964</c:v>
                </c:pt>
                <c:pt idx="11">
                  <c:v>1072</c:v>
                </c:pt>
                <c:pt idx="12">
                  <c:v>1179</c:v>
                </c:pt>
                <c:pt idx="13">
                  <c:v>1286</c:v>
                </c:pt>
                <c:pt idx="14">
                  <c:v>1394</c:v>
                </c:pt>
                <c:pt idx="15">
                  <c:v>1500</c:v>
                </c:pt>
                <c:pt idx="16">
                  <c:v>1608</c:v>
                </c:pt>
                <c:pt idx="17">
                  <c:v>1715</c:v>
                </c:pt>
                <c:pt idx="18">
                  <c:v>1822</c:v>
                </c:pt>
                <c:pt idx="19">
                  <c:v>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AC-4BA0-B83B-81AC33047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409984"/>
        <c:axId val="110419968"/>
      </c:lineChart>
      <c:catAx>
        <c:axId val="110409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419968"/>
        <c:crosses val="autoZero"/>
        <c:auto val="1"/>
        <c:lblAlgn val="ctr"/>
        <c:lblOffset val="100"/>
        <c:noMultiLvlLbl val="0"/>
      </c:catAx>
      <c:valAx>
        <c:axId val="11041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40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'BASE-C140'!$B$1</c:f>
              <c:strCache>
                <c:ptCount val="1"/>
                <c:pt idx="0">
                  <c:v>C144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'BASE-C140'!$B$2:$B$21</c:f>
              <c:numCache>
                <c:formatCode>General</c:formatCode>
                <c:ptCount val="20"/>
                <c:pt idx="0">
                  <c:v>84</c:v>
                </c:pt>
                <c:pt idx="1">
                  <c:v>106</c:v>
                </c:pt>
                <c:pt idx="2">
                  <c:v>127</c:v>
                </c:pt>
                <c:pt idx="3">
                  <c:v>148</c:v>
                </c:pt>
                <c:pt idx="4">
                  <c:v>170</c:v>
                </c:pt>
                <c:pt idx="5">
                  <c:v>191</c:v>
                </c:pt>
                <c:pt idx="6">
                  <c:v>211</c:v>
                </c:pt>
                <c:pt idx="7">
                  <c:v>254</c:v>
                </c:pt>
                <c:pt idx="8">
                  <c:v>297</c:v>
                </c:pt>
                <c:pt idx="9">
                  <c:v>339</c:v>
                </c:pt>
                <c:pt idx="10">
                  <c:v>381</c:v>
                </c:pt>
                <c:pt idx="11">
                  <c:v>424</c:v>
                </c:pt>
                <c:pt idx="12">
                  <c:v>466</c:v>
                </c:pt>
                <c:pt idx="13">
                  <c:v>508</c:v>
                </c:pt>
                <c:pt idx="14">
                  <c:v>551</c:v>
                </c:pt>
                <c:pt idx="15">
                  <c:v>594</c:v>
                </c:pt>
                <c:pt idx="16">
                  <c:v>635</c:v>
                </c:pt>
                <c:pt idx="17">
                  <c:v>678</c:v>
                </c:pt>
                <c:pt idx="18">
                  <c:v>721</c:v>
                </c:pt>
                <c:pt idx="19">
                  <c:v>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4-4449-9FC2-21C1B1EC8CA7}"/>
            </c:ext>
          </c:extLst>
        </c:ser>
        <c:ser>
          <c:idx val="1"/>
          <c:order val="1"/>
          <c:tx>
            <c:strRef>
              <c:f>'BASE-C140'!$C$1</c:f>
              <c:strCache>
                <c:ptCount val="1"/>
                <c:pt idx="0">
                  <c:v>C176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'BASE-C140'!$C$2:$C$21</c:f>
              <c:numCache>
                <c:formatCode>General</c:formatCode>
                <c:ptCount val="20"/>
                <c:pt idx="0">
                  <c:v>104</c:v>
                </c:pt>
                <c:pt idx="1">
                  <c:v>130</c:v>
                </c:pt>
                <c:pt idx="2">
                  <c:v>157</c:v>
                </c:pt>
                <c:pt idx="3">
                  <c:v>183</c:v>
                </c:pt>
                <c:pt idx="4">
                  <c:v>209</c:v>
                </c:pt>
                <c:pt idx="5">
                  <c:v>235</c:v>
                </c:pt>
                <c:pt idx="6">
                  <c:v>262</c:v>
                </c:pt>
                <c:pt idx="7">
                  <c:v>313</c:v>
                </c:pt>
                <c:pt idx="8">
                  <c:v>367</c:v>
                </c:pt>
                <c:pt idx="9">
                  <c:v>418</c:v>
                </c:pt>
                <c:pt idx="10">
                  <c:v>471</c:v>
                </c:pt>
                <c:pt idx="11">
                  <c:v>523</c:v>
                </c:pt>
                <c:pt idx="12">
                  <c:v>575</c:v>
                </c:pt>
                <c:pt idx="13">
                  <c:v>628</c:v>
                </c:pt>
                <c:pt idx="14">
                  <c:v>680</c:v>
                </c:pt>
                <c:pt idx="15">
                  <c:v>732</c:v>
                </c:pt>
                <c:pt idx="16">
                  <c:v>785</c:v>
                </c:pt>
                <c:pt idx="17">
                  <c:v>837</c:v>
                </c:pt>
                <c:pt idx="18">
                  <c:v>890</c:v>
                </c:pt>
                <c:pt idx="19">
                  <c:v>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4-4449-9FC2-21C1B1EC8CA7}"/>
            </c:ext>
          </c:extLst>
        </c:ser>
        <c:ser>
          <c:idx val="2"/>
          <c:order val="2"/>
          <c:tx>
            <c:strRef>
              <c:f>'BASE-C140'!$D$1</c:f>
              <c:strCache>
                <c:ptCount val="1"/>
                <c:pt idx="0">
                  <c:v>C224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'BASE-C140'!$D$2:$D$21</c:f>
              <c:numCache>
                <c:formatCode>General</c:formatCode>
                <c:ptCount val="20"/>
                <c:pt idx="0">
                  <c:v>140</c:v>
                </c:pt>
                <c:pt idx="1">
                  <c:v>176</c:v>
                </c:pt>
                <c:pt idx="2">
                  <c:v>212</c:v>
                </c:pt>
                <c:pt idx="3">
                  <c:v>248</c:v>
                </c:pt>
                <c:pt idx="4">
                  <c:v>284</c:v>
                </c:pt>
                <c:pt idx="5">
                  <c:v>319</c:v>
                </c:pt>
                <c:pt idx="6">
                  <c:v>355</c:v>
                </c:pt>
                <c:pt idx="7">
                  <c:v>425</c:v>
                </c:pt>
                <c:pt idx="8">
                  <c:v>497</c:v>
                </c:pt>
                <c:pt idx="9">
                  <c:v>567</c:v>
                </c:pt>
                <c:pt idx="10">
                  <c:v>638</c:v>
                </c:pt>
                <c:pt idx="11">
                  <c:v>709</c:v>
                </c:pt>
                <c:pt idx="12">
                  <c:v>779</c:v>
                </c:pt>
                <c:pt idx="13">
                  <c:v>851</c:v>
                </c:pt>
                <c:pt idx="14">
                  <c:v>922</c:v>
                </c:pt>
                <c:pt idx="15">
                  <c:v>993</c:v>
                </c:pt>
                <c:pt idx="16">
                  <c:v>1064</c:v>
                </c:pt>
                <c:pt idx="17">
                  <c:v>1135</c:v>
                </c:pt>
                <c:pt idx="18">
                  <c:v>1206</c:v>
                </c:pt>
                <c:pt idx="19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4-4449-9FC2-21C1B1EC8CA7}"/>
            </c:ext>
          </c:extLst>
        </c:ser>
        <c:ser>
          <c:idx val="3"/>
          <c:order val="3"/>
          <c:tx>
            <c:strRef>
              <c:f>'BASE-C140'!$E$1</c:f>
              <c:strCache>
                <c:ptCount val="1"/>
                <c:pt idx="0">
                  <c:v>C240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'BASE-C140'!$E$2:$E$21</c:f>
              <c:numCache>
                <c:formatCode>General</c:formatCode>
                <c:ptCount val="20"/>
                <c:pt idx="0">
                  <c:v>155</c:v>
                </c:pt>
                <c:pt idx="1">
                  <c:v>195</c:v>
                </c:pt>
                <c:pt idx="2">
                  <c:v>235</c:v>
                </c:pt>
                <c:pt idx="3">
                  <c:v>275</c:v>
                </c:pt>
                <c:pt idx="4">
                  <c:v>315</c:v>
                </c:pt>
                <c:pt idx="5">
                  <c:v>355</c:v>
                </c:pt>
                <c:pt idx="6">
                  <c:v>394</c:v>
                </c:pt>
                <c:pt idx="7">
                  <c:v>472</c:v>
                </c:pt>
                <c:pt idx="8">
                  <c:v>552</c:v>
                </c:pt>
                <c:pt idx="9">
                  <c:v>630</c:v>
                </c:pt>
                <c:pt idx="10">
                  <c:v>709</c:v>
                </c:pt>
                <c:pt idx="11">
                  <c:v>788</c:v>
                </c:pt>
                <c:pt idx="12">
                  <c:v>866</c:v>
                </c:pt>
                <c:pt idx="13">
                  <c:v>946</c:v>
                </c:pt>
                <c:pt idx="14">
                  <c:v>1024</c:v>
                </c:pt>
                <c:pt idx="15">
                  <c:v>1103</c:v>
                </c:pt>
                <c:pt idx="16">
                  <c:v>1182</c:v>
                </c:pt>
                <c:pt idx="17">
                  <c:v>1261</c:v>
                </c:pt>
                <c:pt idx="18">
                  <c:v>1340</c:v>
                </c:pt>
                <c:pt idx="19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94-4449-9FC2-21C1B1EC8CA7}"/>
            </c:ext>
          </c:extLst>
        </c:ser>
        <c:ser>
          <c:idx val="4"/>
          <c:order val="4"/>
          <c:tx>
            <c:strRef>
              <c:f>'BASE-C140'!$F$1</c:f>
              <c:strCache>
                <c:ptCount val="1"/>
                <c:pt idx="0">
                  <c:v>C272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'BASE-C140'!$F$2:$F$21</c:f>
              <c:numCache>
                <c:formatCode>General</c:formatCode>
                <c:ptCount val="20"/>
                <c:pt idx="0">
                  <c:v>175</c:v>
                </c:pt>
                <c:pt idx="1">
                  <c:v>221</c:v>
                </c:pt>
                <c:pt idx="2">
                  <c:v>266</c:v>
                </c:pt>
                <c:pt idx="3">
                  <c:v>311</c:v>
                </c:pt>
                <c:pt idx="4">
                  <c:v>356</c:v>
                </c:pt>
                <c:pt idx="5">
                  <c:v>401</c:v>
                </c:pt>
                <c:pt idx="6">
                  <c:v>445</c:v>
                </c:pt>
                <c:pt idx="7">
                  <c:v>533</c:v>
                </c:pt>
                <c:pt idx="8">
                  <c:v>623</c:v>
                </c:pt>
                <c:pt idx="9">
                  <c:v>711</c:v>
                </c:pt>
                <c:pt idx="10">
                  <c:v>801</c:v>
                </c:pt>
                <c:pt idx="11">
                  <c:v>890</c:v>
                </c:pt>
                <c:pt idx="12">
                  <c:v>978</c:v>
                </c:pt>
                <c:pt idx="13">
                  <c:v>1068</c:v>
                </c:pt>
                <c:pt idx="14">
                  <c:v>1156</c:v>
                </c:pt>
                <c:pt idx="15">
                  <c:v>1246</c:v>
                </c:pt>
                <c:pt idx="16">
                  <c:v>1335</c:v>
                </c:pt>
                <c:pt idx="17">
                  <c:v>1424</c:v>
                </c:pt>
                <c:pt idx="18">
                  <c:v>1513</c:v>
                </c:pt>
                <c:pt idx="19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94-4449-9FC2-21C1B1EC8CA7}"/>
            </c:ext>
          </c:extLst>
        </c:ser>
        <c:ser>
          <c:idx val="5"/>
          <c:order val="5"/>
          <c:tx>
            <c:strRef>
              <c:f>'BASE-C140'!$G$1</c:f>
              <c:strCache>
                <c:ptCount val="1"/>
                <c:pt idx="0">
                  <c:v>C304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'BASE-C140'!$G$2:$G$21</c:f>
              <c:numCache>
                <c:formatCode>General</c:formatCode>
                <c:ptCount val="20"/>
                <c:pt idx="0">
                  <c:v>183</c:v>
                </c:pt>
                <c:pt idx="1">
                  <c:v>230</c:v>
                </c:pt>
                <c:pt idx="2">
                  <c:v>277</c:v>
                </c:pt>
                <c:pt idx="3">
                  <c:v>324</c:v>
                </c:pt>
                <c:pt idx="4">
                  <c:v>371</c:v>
                </c:pt>
                <c:pt idx="5">
                  <c:v>418</c:v>
                </c:pt>
                <c:pt idx="6">
                  <c:v>464</c:v>
                </c:pt>
                <c:pt idx="7">
                  <c:v>557</c:v>
                </c:pt>
                <c:pt idx="8">
                  <c:v>651</c:v>
                </c:pt>
                <c:pt idx="9">
                  <c:v>743</c:v>
                </c:pt>
                <c:pt idx="10">
                  <c:v>836</c:v>
                </c:pt>
                <c:pt idx="11">
                  <c:v>929</c:v>
                </c:pt>
                <c:pt idx="12">
                  <c:v>1021</c:v>
                </c:pt>
                <c:pt idx="13">
                  <c:v>1115</c:v>
                </c:pt>
                <c:pt idx="14">
                  <c:v>1207</c:v>
                </c:pt>
                <c:pt idx="15">
                  <c:v>1300</c:v>
                </c:pt>
                <c:pt idx="16">
                  <c:v>1393</c:v>
                </c:pt>
                <c:pt idx="17">
                  <c:v>1486</c:v>
                </c:pt>
                <c:pt idx="18">
                  <c:v>1580</c:v>
                </c:pt>
                <c:pt idx="19">
                  <c:v>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94-4449-9FC2-21C1B1EC8CA7}"/>
            </c:ext>
          </c:extLst>
        </c:ser>
        <c:ser>
          <c:idx val="6"/>
          <c:order val="6"/>
          <c:tx>
            <c:strRef>
              <c:f>'BASE-C140'!$H$1</c:f>
              <c:strCache>
                <c:ptCount val="1"/>
                <c:pt idx="0">
                  <c:v>C336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'BASE-C140'!$H$2:$H$21</c:f>
              <c:numCache>
                <c:formatCode>General</c:formatCode>
                <c:ptCount val="20"/>
                <c:pt idx="0">
                  <c:v>217</c:v>
                </c:pt>
                <c:pt idx="1">
                  <c:v>272</c:v>
                </c:pt>
                <c:pt idx="2">
                  <c:v>326</c:v>
                </c:pt>
                <c:pt idx="3">
                  <c:v>381</c:v>
                </c:pt>
                <c:pt idx="4">
                  <c:v>436</c:v>
                </c:pt>
                <c:pt idx="5">
                  <c:v>490</c:v>
                </c:pt>
                <c:pt idx="6">
                  <c:v>545</c:v>
                </c:pt>
                <c:pt idx="7">
                  <c:v>654</c:v>
                </c:pt>
                <c:pt idx="8">
                  <c:v>763</c:v>
                </c:pt>
                <c:pt idx="9">
                  <c:v>872</c:v>
                </c:pt>
                <c:pt idx="10">
                  <c:v>980</c:v>
                </c:pt>
                <c:pt idx="11">
                  <c:v>1090</c:v>
                </c:pt>
                <c:pt idx="12">
                  <c:v>1199</c:v>
                </c:pt>
                <c:pt idx="13">
                  <c:v>1307</c:v>
                </c:pt>
                <c:pt idx="14">
                  <c:v>1417</c:v>
                </c:pt>
                <c:pt idx="15">
                  <c:v>1525</c:v>
                </c:pt>
                <c:pt idx="16">
                  <c:v>1635</c:v>
                </c:pt>
                <c:pt idx="17">
                  <c:v>1744</c:v>
                </c:pt>
                <c:pt idx="18">
                  <c:v>1852</c:v>
                </c:pt>
                <c:pt idx="19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94-4449-9FC2-21C1B1EC8CA7}"/>
            </c:ext>
          </c:extLst>
        </c:ser>
        <c:ser>
          <c:idx val="7"/>
          <c:order val="7"/>
          <c:tx>
            <c:strRef>
              <c:f>'BASE-C140'!$I$1</c:f>
              <c:strCache>
                <c:ptCount val="1"/>
                <c:pt idx="0">
                  <c:v>C368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'BASE-C140'!$I$2:$I$21</c:f>
              <c:numCache>
                <c:formatCode>General</c:formatCode>
                <c:ptCount val="20"/>
                <c:pt idx="0">
                  <c:v>245</c:v>
                </c:pt>
                <c:pt idx="1">
                  <c:v>307</c:v>
                </c:pt>
                <c:pt idx="2">
                  <c:v>369</c:v>
                </c:pt>
                <c:pt idx="3">
                  <c:v>431</c:v>
                </c:pt>
                <c:pt idx="4">
                  <c:v>493</c:v>
                </c:pt>
                <c:pt idx="5">
                  <c:v>554</c:v>
                </c:pt>
                <c:pt idx="6">
                  <c:v>616</c:v>
                </c:pt>
                <c:pt idx="7">
                  <c:v>740</c:v>
                </c:pt>
                <c:pt idx="8">
                  <c:v>863</c:v>
                </c:pt>
                <c:pt idx="9">
                  <c:v>986</c:v>
                </c:pt>
                <c:pt idx="10">
                  <c:v>1109</c:v>
                </c:pt>
                <c:pt idx="11">
                  <c:v>1233</c:v>
                </c:pt>
                <c:pt idx="12">
                  <c:v>1356</c:v>
                </c:pt>
                <c:pt idx="13">
                  <c:v>1479</c:v>
                </c:pt>
                <c:pt idx="14">
                  <c:v>1603</c:v>
                </c:pt>
                <c:pt idx="15">
                  <c:v>1725</c:v>
                </c:pt>
                <c:pt idx="16">
                  <c:v>1849</c:v>
                </c:pt>
                <c:pt idx="17">
                  <c:v>1973</c:v>
                </c:pt>
                <c:pt idx="18">
                  <c:v>2095</c:v>
                </c:pt>
                <c:pt idx="19">
                  <c:v>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94-4449-9FC2-21C1B1EC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13568"/>
        <c:axId val="110815104"/>
      </c:lineChart>
      <c:catAx>
        <c:axId val="110813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815104"/>
        <c:crosses val="autoZero"/>
        <c:auto val="1"/>
        <c:lblAlgn val="ctr"/>
        <c:lblOffset val="100"/>
        <c:noMultiLvlLbl val="0"/>
      </c:catAx>
      <c:valAx>
        <c:axId val="11081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81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647700</xdr:colOff>
      <xdr:row>22</xdr:row>
      <xdr:rowOff>87630</xdr:rowOff>
    </xdr:from>
    <xdr:to>
      <xdr:col>8</xdr:col>
      <xdr:colOff>464820</xdr:colOff>
      <xdr:row>38</xdr:row>
      <xdr:rowOff>148590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3C86361-C819-4878-8E34-B3DEDD96B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487682</xdr:colOff>
      <xdr:row>45</xdr:row>
      <xdr:rowOff>167642</xdr:rowOff>
    </xdr:from>
    <xdr:to>
      <xdr:col>14</xdr:col>
      <xdr:colOff>348615</xdr:colOff>
      <xdr:row>53</xdr:row>
      <xdr:rowOff>69324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BAE0AC40-AC8F-4FE3-86DD-18DE7B63F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724402" y="8595362"/>
          <a:ext cx="1744978" cy="1364722"/>
        </a:xfrm>
        <a:prstGeom prst="rect">
          <a:avLst/>
        </a:prstGeom>
      </xdr:spPr>
    </xdr:pic>
    <xdr:clientData/>
  </xdr:twoCellAnchor>
  <xdr:twoCellAnchor editAs="oneCell">
    <xdr:from>
      <xdr:col>1</xdr:col>
      <xdr:colOff>7621</xdr:colOff>
      <xdr:row>47</xdr:row>
      <xdr:rowOff>1</xdr:rowOff>
    </xdr:from>
    <xdr:to>
      <xdr:col>9</xdr:col>
      <xdr:colOff>396240</xdr:colOff>
      <xdr:row>54</xdr:row>
      <xdr:rowOff>5586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ECBAC84-8FF2-4CCA-9705-C6E13B95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621" y="8793481"/>
          <a:ext cx="4190999" cy="12857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7621</xdr:colOff>
      <xdr:row>45</xdr:row>
      <xdr:rowOff>144781</xdr:rowOff>
    </xdr:from>
    <xdr:to>
      <xdr:col>15</xdr:col>
      <xdr:colOff>22860</xdr:colOff>
      <xdr:row>53</xdr:row>
      <xdr:rowOff>53552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E8136D1-1C49-4D7D-8103-E26F64E7D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762501" y="8542021"/>
          <a:ext cx="1752599" cy="13718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47</xdr:row>
      <xdr:rowOff>106680</xdr:rowOff>
    </xdr:from>
    <xdr:to>
      <xdr:col>10</xdr:col>
      <xdr:colOff>342198</xdr:colOff>
      <xdr:row>53</xdr:row>
      <xdr:rowOff>162976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897C3D6-583C-4D31-A1D0-2662EE20C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5240" y="8869680"/>
          <a:ext cx="4578918" cy="11535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396240</xdr:colOff>
      <xdr:row>45</xdr:row>
      <xdr:rowOff>144686</xdr:rowOff>
    </xdr:from>
    <xdr:to>
      <xdr:col>15</xdr:col>
      <xdr:colOff>15240</xdr:colOff>
      <xdr:row>53</xdr:row>
      <xdr:rowOff>75477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3A5D917C-C750-42D1-95D6-1127695A6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48200" y="8541926"/>
          <a:ext cx="1859280" cy="13938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167642</xdr:rowOff>
    </xdr:from>
    <xdr:to>
      <xdr:col>10</xdr:col>
      <xdr:colOff>391062</xdr:colOff>
      <xdr:row>53</xdr:row>
      <xdr:rowOff>106680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80A46DD-4255-40D8-94D6-6A39F3C49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747762"/>
          <a:ext cx="4643022" cy="121919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464820</xdr:colOff>
      <xdr:row>8</xdr:row>
      <xdr:rowOff>99060</xdr:rowOff>
    </xdr:from>
    <xdr:to>
      <xdr:col>6</xdr:col>
      <xdr:colOff>510540</xdr:colOff>
      <xdr:row>45</xdr:row>
      <xdr:rowOff>181763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878024A-5F10-43D2-9731-ABEE06AF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31520" y="1607820"/>
          <a:ext cx="4008120" cy="692546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449581</xdr:colOff>
      <xdr:row>7</xdr:row>
      <xdr:rowOff>121920</xdr:rowOff>
    </xdr:from>
    <xdr:to>
      <xdr:col>6</xdr:col>
      <xdr:colOff>624840</xdr:colOff>
      <xdr:row>47</xdr:row>
      <xdr:rowOff>4577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D6BA443-E95C-492B-9E54-7420EE28C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1561" y="1447800"/>
          <a:ext cx="4137659" cy="727405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320040</xdr:colOff>
      <xdr:row>34</xdr:row>
      <xdr:rowOff>137160</xdr:rowOff>
    </xdr:from>
    <xdr:to>
      <xdr:col>12</xdr:col>
      <xdr:colOff>541020</xdr:colOff>
      <xdr:row>45</xdr:row>
      <xdr:rowOff>115439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26065AA-6075-4CCB-8491-19D1D141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177540" y="6261735"/>
          <a:ext cx="2983230" cy="17594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7620</xdr:rowOff>
    </xdr:from>
    <xdr:to>
      <xdr:col>13</xdr:col>
      <xdr:colOff>60960</xdr:colOff>
      <xdr:row>52</xdr:row>
      <xdr:rowOff>114221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983640A-1468-4A38-B486-59CFF78B7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075295"/>
          <a:ext cx="6233160" cy="10781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48</xdr:row>
      <xdr:rowOff>60962</xdr:rowOff>
    </xdr:from>
    <xdr:to>
      <xdr:col>13</xdr:col>
      <xdr:colOff>1</xdr:colOff>
      <xdr:row>54</xdr:row>
      <xdr:rowOff>149102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A7CB3DE-8EFC-4504-A719-6F5ADF00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" y="8395337"/>
          <a:ext cx="6153150" cy="1059690"/>
        </a:xfrm>
        <a:prstGeom prst="rect">
          <a:avLst/>
        </a:prstGeom>
      </xdr:spPr>
    </xdr:pic>
    <xdr:clientData/>
  </xdr:twoCellAnchor>
  <xdr:twoCellAnchor editAs="oneCell">
    <xdr:from>
      <xdr:col>7</xdr:col>
      <xdr:colOff>350520</xdr:colOff>
      <xdr:row>34</xdr:row>
      <xdr:rowOff>138184</xdr:rowOff>
    </xdr:from>
    <xdr:to>
      <xdr:col>12</xdr:col>
      <xdr:colOff>526791</xdr:colOff>
      <xdr:row>46</xdr:row>
      <xdr:rowOff>85725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EDF0246-1534-42D1-9761-C8AFFDD38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188970" y="6205609"/>
          <a:ext cx="2938521" cy="189064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150496</xdr:colOff>
      <xdr:row>34</xdr:row>
      <xdr:rowOff>83822</xdr:rowOff>
    </xdr:from>
    <xdr:to>
      <xdr:col>9</xdr:col>
      <xdr:colOff>725521</xdr:colOff>
      <xdr:row>45</xdr:row>
      <xdr:rowOff>95251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BF288FA-B041-4BA5-83C4-731C0F2C4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284221" y="6170297"/>
          <a:ext cx="2832450" cy="179260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</xdr:row>
      <xdr:rowOff>68580</xdr:rowOff>
    </xdr:from>
    <xdr:to>
      <xdr:col>9</xdr:col>
      <xdr:colOff>742951</xdr:colOff>
      <xdr:row>52</xdr:row>
      <xdr:rowOff>147105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2BB9D4D-5ACE-46D9-9FCF-1C2D51E8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" y="8098155"/>
          <a:ext cx="6134100" cy="10500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205742</xdr:colOff>
      <xdr:row>30</xdr:row>
      <xdr:rowOff>137162</xdr:rowOff>
    </xdr:from>
    <xdr:to>
      <xdr:col>12</xdr:col>
      <xdr:colOff>527852</xdr:colOff>
      <xdr:row>42</xdr:row>
      <xdr:rowOff>142876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42B5BD7-2045-4E0C-9992-24872B0F6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53717" y="5594987"/>
          <a:ext cx="3084360" cy="19488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137160</xdr:rowOff>
    </xdr:from>
    <xdr:to>
      <xdr:col>12</xdr:col>
      <xdr:colOff>523875</xdr:colOff>
      <xdr:row>52</xdr:row>
      <xdr:rowOff>122330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B4B6365-DAC6-4DDC-8BA5-0130CE503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023860"/>
          <a:ext cx="6134100" cy="11186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297181</xdr:colOff>
      <xdr:row>6</xdr:row>
      <xdr:rowOff>85725</xdr:rowOff>
    </xdr:from>
    <xdr:to>
      <xdr:col>9</xdr:col>
      <xdr:colOff>656942</xdr:colOff>
      <xdr:row>9</xdr:row>
      <xdr:rowOff>93345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896C30C-FE90-4E2D-8E88-C62F17A95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50131" y="600075"/>
          <a:ext cx="1140811" cy="7124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371475</xdr:colOff>
      <xdr:row>8</xdr:row>
      <xdr:rowOff>32385</xdr:rowOff>
    </xdr:from>
    <xdr:to>
      <xdr:col>20</xdr:col>
      <xdr:colOff>735330</xdr:colOff>
      <xdr:row>32</xdr:row>
      <xdr:rowOff>70485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CDF69A5-89CB-497E-A586-E7546E84B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304800</xdr:colOff>
      <xdr:row>23</xdr:row>
      <xdr:rowOff>87630</xdr:rowOff>
    </xdr:from>
    <xdr:to>
      <xdr:col>8</xdr:col>
      <xdr:colOff>121920</xdr:colOff>
      <xdr:row>39</xdr:row>
      <xdr:rowOff>148590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7A129379-0F9B-4D47-9D0C-6BCF847F4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434341</xdr:colOff>
      <xdr:row>6</xdr:row>
      <xdr:rowOff>45722</xdr:rowOff>
    </xdr:from>
    <xdr:to>
      <xdr:col>9</xdr:col>
      <xdr:colOff>752475</xdr:colOff>
      <xdr:row>9</xdr:row>
      <xdr:rowOff>157451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A8A216A-88B7-4581-8524-08EA250CA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34916" y="560072"/>
          <a:ext cx="1108709" cy="8165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158116</xdr:colOff>
      <xdr:row>6</xdr:row>
      <xdr:rowOff>53340</xdr:rowOff>
    </xdr:from>
    <xdr:to>
      <xdr:col>10</xdr:col>
      <xdr:colOff>615315</xdr:colOff>
      <xdr:row>10</xdr:row>
      <xdr:rowOff>48661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DF9C43A-9607-460C-9667-A7CB7247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968241" y="567690"/>
          <a:ext cx="1142999" cy="99544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234315</xdr:colOff>
      <xdr:row>6</xdr:row>
      <xdr:rowOff>32385</xdr:rowOff>
    </xdr:from>
    <xdr:to>
      <xdr:col>10</xdr:col>
      <xdr:colOff>641536</xdr:colOff>
      <xdr:row>10</xdr:row>
      <xdr:rowOff>131445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EA2E902-8F27-457D-8CFF-3D1C71614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44440" y="546735"/>
          <a:ext cx="1093021" cy="109918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</xdr:colOff>
      <xdr:row>6</xdr:row>
      <xdr:rowOff>72390</xdr:rowOff>
    </xdr:from>
    <xdr:to>
      <xdr:col>10</xdr:col>
      <xdr:colOff>617220</xdr:colOff>
      <xdr:row>9</xdr:row>
      <xdr:rowOff>156820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A1FAEA8-4C0C-45DC-85EF-EEC1BCD8A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53940" y="586740"/>
          <a:ext cx="1249680" cy="78928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678180</xdr:colOff>
      <xdr:row>6</xdr:row>
      <xdr:rowOff>30480</xdr:rowOff>
    </xdr:from>
    <xdr:to>
      <xdr:col>10</xdr:col>
      <xdr:colOff>662940</xdr:colOff>
      <xdr:row>9</xdr:row>
      <xdr:rowOff>205339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8738765-3BAE-49C4-974F-C96F3E313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792980" y="544830"/>
          <a:ext cx="1356360" cy="87970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110491</xdr:colOff>
      <xdr:row>6</xdr:row>
      <xdr:rowOff>47627</xdr:rowOff>
    </xdr:from>
    <xdr:to>
      <xdr:col>10</xdr:col>
      <xdr:colOff>626746</xdr:colOff>
      <xdr:row>10</xdr:row>
      <xdr:rowOff>1806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6C36C77-4DF2-4E56-93EA-3EC0BC729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911091" y="561977"/>
          <a:ext cx="1202055" cy="95430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139066</xdr:colOff>
      <xdr:row>6</xdr:row>
      <xdr:rowOff>22861</xdr:rowOff>
    </xdr:from>
    <xdr:to>
      <xdr:col>10</xdr:col>
      <xdr:colOff>659130</xdr:colOff>
      <xdr:row>10</xdr:row>
      <xdr:rowOff>123312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06B2CDC-0FED-40B6-B65A-3F4FBC0D4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901566" y="537211"/>
          <a:ext cx="1205864" cy="110057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693420</xdr:colOff>
      <xdr:row>22</xdr:row>
      <xdr:rowOff>87630</xdr:rowOff>
    </xdr:from>
    <xdr:to>
      <xdr:col>7</xdr:col>
      <xdr:colOff>510540</xdr:colOff>
      <xdr:row>38</xdr:row>
      <xdr:rowOff>148590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44E8A8B-957C-487C-858B-8DBD9A89E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371475</xdr:colOff>
      <xdr:row>8</xdr:row>
      <xdr:rowOff>32385</xdr:rowOff>
    </xdr:from>
    <xdr:to>
      <xdr:col>20</xdr:col>
      <xdr:colOff>735330</xdr:colOff>
      <xdr:row>32</xdr:row>
      <xdr:rowOff>70485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5A710D4-5CCB-4507-BDE9-C219A0C38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21</xdr:row>
      <xdr:rowOff>87630</xdr:rowOff>
    </xdr:from>
    <xdr:to>
      <xdr:col>7</xdr:col>
      <xdr:colOff>678180</xdr:colOff>
      <xdr:row>37</xdr:row>
      <xdr:rowOff>148590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4EC04A0A-5CAD-479D-81DA-99B86D3D4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205740</xdr:colOff>
      <xdr:row>22</xdr:row>
      <xdr:rowOff>72390</xdr:rowOff>
    </xdr:from>
    <xdr:to>
      <xdr:col>8</xdr:col>
      <xdr:colOff>22860</xdr:colOff>
      <xdr:row>38</xdr:row>
      <xdr:rowOff>133350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A21E2F4-8F28-4A89-A3AA-67D1C798D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510540</xdr:colOff>
      <xdr:row>23</xdr:row>
      <xdr:rowOff>148590</xdr:rowOff>
    </xdr:from>
    <xdr:to>
      <xdr:col>7</xdr:col>
      <xdr:colOff>327660</xdr:colOff>
      <xdr:row>40</xdr:row>
      <xdr:rowOff>41910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87783D2-DF7B-4437-BBEB-092BC3F12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182880</xdr:colOff>
      <xdr:row>22</xdr:row>
      <xdr:rowOff>133350</xdr:rowOff>
    </xdr:from>
    <xdr:to>
      <xdr:col>8</xdr:col>
      <xdr:colOff>0</xdr:colOff>
      <xdr:row>39</xdr:row>
      <xdr:rowOff>26670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7F0B5E2-340E-44A0-9E7C-7D3881BDA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91441</xdr:colOff>
      <xdr:row>32</xdr:row>
      <xdr:rowOff>68580</xdr:rowOff>
    </xdr:from>
    <xdr:to>
      <xdr:col>13</xdr:col>
      <xdr:colOff>670561</xdr:colOff>
      <xdr:row>40</xdr:row>
      <xdr:rowOff>27621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B81369B-3EFE-4062-B660-392ADDB9D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730491" y="5231130"/>
          <a:ext cx="1379220" cy="1254441"/>
        </a:xfrm>
        <a:prstGeom prst="rect">
          <a:avLst/>
        </a:prstGeom>
      </xdr:spPr>
    </xdr:pic>
    <xdr:clientData/>
  </xdr:twoCellAnchor>
  <xdr:twoCellAnchor editAs="oneCell">
    <xdr:from>
      <xdr:col>9</xdr:col>
      <xdr:colOff>373169</xdr:colOff>
      <xdr:row>32</xdr:row>
      <xdr:rowOff>106680</xdr:rowOff>
    </xdr:from>
    <xdr:to>
      <xdr:col>12</xdr:col>
      <xdr:colOff>110491</xdr:colOff>
      <xdr:row>38</xdr:row>
      <xdr:rowOff>4439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65259D4-882D-4968-94BE-27105F06A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954819" y="5269230"/>
          <a:ext cx="1680422" cy="869309"/>
        </a:xfrm>
        <a:prstGeom prst="rect">
          <a:avLst/>
        </a:prstGeom>
      </xdr:spPr>
    </xdr:pic>
    <xdr:clientData/>
  </xdr:twoCellAnchor>
  <xdr:twoCellAnchor editAs="oneCell">
    <xdr:from>
      <xdr:col>5</xdr:col>
      <xdr:colOff>243841</xdr:colOff>
      <xdr:row>32</xdr:row>
      <xdr:rowOff>152400</xdr:rowOff>
    </xdr:from>
    <xdr:to>
      <xdr:col>9</xdr:col>
      <xdr:colOff>68580</xdr:colOff>
      <xdr:row>40</xdr:row>
      <xdr:rowOff>55414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AE1AE54-EBB5-4C61-B1FD-BA47845CB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767966" y="5314950"/>
          <a:ext cx="2882264" cy="119841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327660</xdr:colOff>
      <xdr:row>9</xdr:row>
      <xdr:rowOff>64770</xdr:rowOff>
    </xdr:from>
    <xdr:to>
      <xdr:col>8</xdr:col>
      <xdr:colOff>144780</xdr:colOff>
      <xdr:row>24</xdr:row>
      <xdr:rowOff>64770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B6889F6E-A3DE-48A6-82A2-E10A3B9654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556260</xdr:colOff>
      <xdr:row>9</xdr:row>
      <xdr:rowOff>137160</xdr:rowOff>
    </xdr:from>
    <xdr:to>
      <xdr:col>6</xdr:col>
      <xdr:colOff>373380</xdr:colOff>
      <xdr:row>23</xdr:row>
      <xdr:rowOff>118110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65452ECE-9E76-4D21-94C1-DEF31CD423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502920</xdr:colOff>
      <xdr:row>22</xdr:row>
      <xdr:rowOff>34290</xdr:rowOff>
    </xdr:from>
    <xdr:to>
      <xdr:col>7</xdr:col>
      <xdr:colOff>320040</xdr:colOff>
      <xdr:row>38</xdr:row>
      <xdr:rowOff>95250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7179724-944D-4248-AA9A-7EB28B8AE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46</xdr:row>
      <xdr:rowOff>161925</xdr:rowOff>
    </xdr:from>
    <xdr:to>
      <xdr:col>9</xdr:col>
      <xdr:colOff>243840</xdr:colOff>
      <xdr:row>53</xdr:row>
      <xdr:rowOff>185130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78E7DCB-16FC-4266-8B30-282344B02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8100" y="9010650"/>
          <a:ext cx="3882390" cy="135670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45</xdr:row>
      <xdr:rowOff>152400</xdr:rowOff>
    </xdr:from>
    <xdr:to>
      <xdr:col>14</xdr:col>
      <xdr:colOff>303493</xdr:colOff>
      <xdr:row>53</xdr:row>
      <xdr:rowOff>7620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439D993-2758-4E19-9176-E5C6CB58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57650" y="8810625"/>
          <a:ext cx="2151343" cy="1379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342901</xdr:colOff>
      <xdr:row>45</xdr:row>
      <xdr:rowOff>167640</xdr:rowOff>
    </xdr:from>
    <xdr:to>
      <xdr:col>14</xdr:col>
      <xdr:colOff>320890</xdr:colOff>
      <xdr:row>53</xdr:row>
      <xdr:rowOff>38100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E7BDDCC-2AA0-4290-8227-DD371F6B4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52901" y="8656320"/>
          <a:ext cx="2286849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22861</xdr:colOff>
      <xdr:row>47</xdr:row>
      <xdr:rowOff>1</xdr:rowOff>
    </xdr:from>
    <xdr:to>
      <xdr:col>9</xdr:col>
      <xdr:colOff>106681</xdr:colOff>
      <xdr:row>53</xdr:row>
      <xdr:rowOff>180711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52AE3E5-33A6-4BC8-8B63-C8BB284A0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41936" y="9229726"/>
          <a:ext cx="3769995" cy="13237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419099</xdr:colOff>
      <xdr:row>46</xdr:row>
      <xdr:rowOff>3894</xdr:rowOff>
    </xdr:from>
    <xdr:to>
      <xdr:col>15</xdr:col>
      <xdr:colOff>4027</xdr:colOff>
      <xdr:row>53</xdr:row>
      <xdr:rowOff>38100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578BB3A-0D36-4FA1-9204-ECE877788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36719" y="8614494"/>
          <a:ext cx="2246213" cy="13143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68580</xdr:rowOff>
    </xdr:from>
    <xdr:to>
      <xdr:col>10</xdr:col>
      <xdr:colOff>3937</xdr:colOff>
      <xdr:row>53</xdr:row>
      <xdr:rowOff>129540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56B6268-EA38-416B-B316-6AF86954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862060"/>
          <a:ext cx="4250182" cy="11582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22861</xdr:colOff>
      <xdr:row>46</xdr:row>
      <xdr:rowOff>30481</xdr:rowOff>
    </xdr:from>
    <xdr:to>
      <xdr:col>14</xdr:col>
      <xdr:colOff>348133</xdr:colOff>
      <xdr:row>53</xdr:row>
      <xdr:rowOff>15241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ADB3E26-9131-4598-A305-81572B27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59581" y="8641081"/>
          <a:ext cx="2209317" cy="12649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91440</xdr:rowOff>
    </xdr:from>
    <xdr:to>
      <xdr:col>9</xdr:col>
      <xdr:colOff>342900</xdr:colOff>
      <xdr:row>53</xdr:row>
      <xdr:rowOff>115557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5265EB2-B97A-4F96-BD12-1A5E7304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884920"/>
          <a:ext cx="4145280" cy="11213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403860</xdr:colOff>
      <xdr:row>45</xdr:row>
      <xdr:rowOff>167641</xdr:rowOff>
    </xdr:from>
    <xdr:to>
      <xdr:col>14</xdr:col>
      <xdr:colOff>348615</xdr:colOff>
      <xdr:row>53</xdr:row>
      <xdr:rowOff>65022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0A148AA-7BED-4E5E-83E0-D446DBE81C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832"/>
        <a:stretch/>
      </xdr:blipFill>
      <xdr:spPr>
        <a:xfrm>
          <a:off x="4640580" y="8595361"/>
          <a:ext cx="1828800" cy="136042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47</xdr:row>
      <xdr:rowOff>7123</xdr:rowOff>
    </xdr:from>
    <xdr:to>
      <xdr:col>9</xdr:col>
      <xdr:colOff>304800</xdr:colOff>
      <xdr:row>53</xdr:row>
      <xdr:rowOff>178131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C7981B4-F58A-4B4C-97B0-47539649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620" y="8800603"/>
          <a:ext cx="4099560" cy="12682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LD%20LEISTUNGEN-TOOL%20under%20Work-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"/>
      <sheetName val="TXT"/>
      <sheetName val="COLD288-125-T2"/>
      <sheetName val="COLD288-125-N2"/>
      <sheetName val="COLD288-125-T4"/>
      <sheetName val="COLD288-125-N4"/>
      <sheetName val="COLD256-160-T2"/>
      <sheetName val="COLD256-160-N2"/>
      <sheetName val="COLD256-160-T4"/>
      <sheetName val="COLD256-160-N4"/>
      <sheetName val="Druckverust 2L"/>
      <sheetName val="Druckverust 4L"/>
      <sheetName val="BASE-COLD"/>
      <sheetName val="EXTRA"/>
      <sheetName val="TEST"/>
      <sheetName val="FAKTOR-H"/>
      <sheetName val="BASE-HEI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B1" t="str">
            <v>Leistungen ALLCO COLD 288-125-T2 pro Ventilator</v>
          </cell>
          <cell r="I1" t="str">
            <v>Leistungen ALLCO COLD 288-125-T2 pro Ventilator</v>
          </cell>
          <cell r="P1" t="str">
            <v>Leistungen ALLCO COLD 288-125-T4 pro Ventilator</v>
          </cell>
          <cell r="W1" t="str">
            <v>Leistungen ALLCO COLD 288-125-T4 pro Ventilator</v>
          </cell>
        </row>
        <row r="2">
          <cell r="B2" t="str">
            <v>QK100</v>
          </cell>
          <cell r="C2" t="str">
            <v>QK80</v>
          </cell>
          <cell r="D2" t="str">
            <v>QK60</v>
          </cell>
          <cell r="E2" t="str">
            <v>QK50</v>
          </cell>
          <cell r="F2" t="str">
            <v>QK40</v>
          </cell>
          <cell r="G2" t="str">
            <v>QK30</v>
          </cell>
          <cell r="H2" t="str">
            <v>QK20</v>
          </cell>
          <cell r="I2" t="str">
            <v>QS100</v>
          </cell>
          <cell r="J2" t="str">
            <v>QS80</v>
          </cell>
          <cell r="K2" t="str">
            <v>QS60</v>
          </cell>
          <cell r="L2" t="str">
            <v>QS50</v>
          </cell>
          <cell r="M2" t="str">
            <v>QS40</v>
          </cell>
          <cell r="N2" t="str">
            <v>QS30</v>
          </cell>
          <cell r="O2" t="str">
            <v>QS20</v>
          </cell>
          <cell r="P2" t="str">
            <v>QK100</v>
          </cell>
          <cell r="Q2" t="str">
            <v>QK80</v>
          </cell>
          <cell r="R2" t="str">
            <v>QK60</v>
          </cell>
          <cell r="S2" t="str">
            <v>QK50</v>
          </cell>
          <cell r="T2" t="str">
            <v>QK40</v>
          </cell>
          <cell r="U2" t="str">
            <v>QK30</v>
          </cell>
          <cell r="V2" t="str">
            <v>QK20</v>
          </cell>
          <cell r="W2" t="str">
            <v>QS100</v>
          </cell>
          <cell r="X2" t="str">
            <v>QS80</v>
          </cell>
          <cell r="Y2" t="str">
            <v>QS60</v>
          </cell>
          <cell r="Z2" t="str">
            <v>QS50</v>
          </cell>
          <cell r="AA2" t="str">
            <v>QS40</v>
          </cell>
          <cell r="AB2" t="str">
            <v>QS30</v>
          </cell>
          <cell r="AC2" t="str">
            <v>QS20</v>
          </cell>
        </row>
        <row r="3">
          <cell r="A3" t="str">
            <v>4-6-20</v>
          </cell>
          <cell r="B3">
            <v>1165</v>
          </cell>
          <cell r="C3">
            <v>1025</v>
          </cell>
          <cell r="D3">
            <v>836</v>
          </cell>
          <cell r="E3">
            <v>713</v>
          </cell>
          <cell r="F3">
            <v>589</v>
          </cell>
          <cell r="G3">
            <v>406</v>
          </cell>
          <cell r="H3">
            <v>223</v>
          </cell>
          <cell r="I3">
            <v>965</v>
          </cell>
          <cell r="J3">
            <v>840</v>
          </cell>
          <cell r="K3">
            <v>678</v>
          </cell>
          <cell r="L3">
            <v>575</v>
          </cell>
          <cell r="M3">
            <v>472</v>
          </cell>
          <cell r="N3">
            <v>324</v>
          </cell>
          <cell r="O3">
            <v>176</v>
          </cell>
          <cell r="P3">
            <v>873</v>
          </cell>
          <cell r="Q3">
            <v>784</v>
          </cell>
          <cell r="R3">
            <v>654</v>
          </cell>
          <cell r="S3">
            <v>567</v>
          </cell>
          <cell r="T3">
            <v>479</v>
          </cell>
          <cell r="U3">
            <v>337</v>
          </cell>
          <cell r="V3">
            <v>194</v>
          </cell>
          <cell r="W3">
            <v>723</v>
          </cell>
          <cell r="X3">
            <v>643</v>
          </cell>
          <cell r="Y3">
            <v>530</v>
          </cell>
          <cell r="Z3">
            <v>457</v>
          </cell>
          <cell r="AA3">
            <v>384</v>
          </cell>
          <cell r="AB3">
            <v>269</v>
          </cell>
          <cell r="AC3">
            <v>153</v>
          </cell>
        </row>
        <row r="4">
          <cell r="A4" t="str">
            <v>4-7-20</v>
          </cell>
          <cell r="B4">
            <v>1053</v>
          </cell>
          <cell r="C4">
            <v>924</v>
          </cell>
          <cell r="D4">
            <v>759</v>
          </cell>
          <cell r="E4">
            <v>649</v>
          </cell>
          <cell r="F4">
            <v>539</v>
          </cell>
          <cell r="G4">
            <v>372</v>
          </cell>
          <cell r="H4">
            <v>204</v>
          </cell>
          <cell r="I4">
            <v>918</v>
          </cell>
          <cell r="J4">
            <v>795</v>
          </cell>
          <cell r="K4">
            <v>643</v>
          </cell>
          <cell r="L4">
            <v>547</v>
          </cell>
          <cell r="M4">
            <v>450</v>
          </cell>
          <cell r="N4">
            <v>309</v>
          </cell>
          <cell r="O4">
            <v>167</v>
          </cell>
          <cell r="P4">
            <v>789</v>
          </cell>
          <cell r="Q4">
            <v>707</v>
          </cell>
          <cell r="R4">
            <v>594</v>
          </cell>
          <cell r="S4">
            <v>516</v>
          </cell>
          <cell r="T4">
            <v>438</v>
          </cell>
          <cell r="U4">
            <v>308</v>
          </cell>
          <cell r="V4">
            <v>178</v>
          </cell>
          <cell r="W4">
            <v>688</v>
          </cell>
          <cell r="X4">
            <v>608</v>
          </cell>
          <cell r="Y4">
            <v>504</v>
          </cell>
          <cell r="Z4">
            <v>435</v>
          </cell>
          <cell r="AA4">
            <v>366</v>
          </cell>
          <cell r="AB4">
            <v>256</v>
          </cell>
          <cell r="AC4">
            <v>146</v>
          </cell>
        </row>
        <row r="5">
          <cell r="A5" t="str">
            <v>4-8-20</v>
          </cell>
          <cell r="B5">
            <v>927</v>
          </cell>
          <cell r="C5">
            <v>820</v>
          </cell>
          <cell r="D5">
            <v>678</v>
          </cell>
          <cell r="E5">
            <v>581</v>
          </cell>
          <cell r="F5">
            <v>484</v>
          </cell>
          <cell r="G5">
            <v>334</v>
          </cell>
          <cell r="H5">
            <v>184</v>
          </cell>
          <cell r="I5">
            <v>864</v>
          </cell>
          <cell r="J5">
            <v>752</v>
          </cell>
          <cell r="K5">
            <v>611</v>
          </cell>
          <cell r="L5">
            <v>520</v>
          </cell>
          <cell r="M5">
            <v>428</v>
          </cell>
          <cell r="N5">
            <v>293</v>
          </cell>
          <cell r="O5">
            <v>158</v>
          </cell>
          <cell r="P5">
            <v>695</v>
          </cell>
          <cell r="Q5">
            <v>627</v>
          </cell>
          <cell r="R5">
            <v>531</v>
          </cell>
          <cell r="S5">
            <v>462</v>
          </cell>
          <cell r="T5">
            <v>393</v>
          </cell>
          <cell r="U5">
            <v>277</v>
          </cell>
          <cell r="V5">
            <v>160</v>
          </cell>
          <cell r="W5">
            <v>648</v>
          </cell>
          <cell r="X5">
            <v>575</v>
          </cell>
          <cell r="Y5">
            <v>479</v>
          </cell>
          <cell r="Z5">
            <v>413</v>
          </cell>
          <cell r="AA5">
            <v>347</v>
          </cell>
          <cell r="AB5">
            <v>243</v>
          </cell>
          <cell r="AC5">
            <v>138</v>
          </cell>
        </row>
        <row r="6">
          <cell r="A6" t="str">
            <v>4-9-20</v>
          </cell>
          <cell r="B6">
            <v>821</v>
          </cell>
          <cell r="C6">
            <v>730</v>
          </cell>
          <cell r="D6">
            <v>589</v>
          </cell>
          <cell r="E6">
            <v>506</v>
          </cell>
          <cell r="F6">
            <v>422</v>
          </cell>
          <cell r="G6">
            <v>292</v>
          </cell>
          <cell r="H6">
            <v>161</v>
          </cell>
          <cell r="I6">
            <v>821</v>
          </cell>
          <cell r="J6">
            <v>730</v>
          </cell>
          <cell r="K6">
            <v>589</v>
          </cell>
          <cell r="L6">
            <v>496</v>
          </cell>
          <cell r="M6">
            <v>403</v>
          </cell>
          <cell r="N6">
            <v>277</v>
          </cell>
          <cell r="O6">
            <v>150</v>
          </cell>
          <cell r="P6">
            <v>616</v>
          </cell>
          <cell r="Q6">
            <v>558</v>
          </cell>
          <cell r="R6">
            <v>461</v>
          </cell>
          <cell r="S6">
            <v>402</v>
          </cell>
          <cell r="T6">
            <v>343</v>
          </cell>
          <cell r="U6">
            <v>242</v>
          </cell>
          <cell r="V6">
            <v>140</v>
          </cell>
          <cell r="W6">
            <v>616</v>
          </cell>
          <cell r="X6">
            <v>558</v>
          </cell>
          <cell r="Y6">
            <v>461</v>
          </cell>
          <cell r="Z6">
            <v>395</v>
          </cell>
          <cell r="AA6">
            <v>328</v>
          </cell>
          <cell r="AB6">
            <v>230</v>
          </cell>
          <cell r="AC6">
            <v>131</v>
          </cell>
        </row>
        <row r="7">
          <cell r="A7" t="str">
            <v>4-10-20</v>
          </cell>
          <cell r="B7">
            <v>766</v>
          </cell>
          <cell r="C7">
            <v>682</v>
          </cell>
          <cell r="D7">
            <v>555</v>
          </cell>
          <cell r="E7">
            <v>473</v>
          </cell>
          <cell r="F7">
            <v>391</v>
          </cell>
          <cell r="G7">
            <v>268</v>
          </cell>
          <cell r="H7">
            <v>145</v>
          </cell>
          <cell r="I7">
            <v>766</v>
          </cell>
          <cell r="J7">
            <v>682</v>
          </cell>
          <cell r="K7">
            <v>555</v>
          </cell>
          <cell r="L7">
            <v>473</v>
          </cell>
          <cell r="M7">
            <v>391</v>
          </cell>
          <cell r="N7">
            <v>268</v>
          </cell>
          <cell r="O7">
            <v>145</v>
          </cell>
          <cell r="P7">
            <v>574</v>
          </cell>
          <cell r="Q7">
            <v>522</v>
          </cell>
          <cell r="R7">
            <v>434</v>
          </cell>
          <cell r="S7">
            <v>376</v>
          </cell>
          <cell r="T7">
            <v>318</v>
          </cell>
          <cell r="U7">
            <v>222</v>
          </cell>
          <cell r="V7">
            <v>126</v>
          </cell>
          <cell r="W7">
            <v>574</v>
          </cell>
          <cell r="X7">
            <v>522</v>
          </cell>
          <cell r="Y7">
            <v>434</v>
          </cell>
          <cell r="Z7">
            <v>376</v>
          </cell>
          <cell r="AA7">
            <v>318</v>
          </cell>
          <cell r="AB7">
            <v>222</v>
          </cell>
          <cell r="AC7">
            <v>126</v>
          </cell>
        </row>
        <row r="8">
          <cell r="A8" t="str">
            <v>4-11-20</v>
          </cell>
          <cell r="B8">
            <v>709</v>
          </cell>
          <cell r="C8">
            <v>636</v>
          </cell>
          <cell r="D8">
            <v>525</v>
          </cell>
          <cell r="E8">
            <v>446</v>
          </cell>
          <cell r="F8">
            <v>367</v>
          </cell>
          <cell r="G8">
            <v>252</v>
          </cell>
          <cell r="H8">
            <v>137</v>
          </cell>
          <cell r="I8">
            <v>709</v>
          </cell>
          <cell r="J8">
            <v>636</v>
          </cell>
          <cell r="K8">
            <v>525</v>
          </cell>
          <cell r="L8">
            <v>446</v>
          </cell>
          <cell r="M8">
            <v>367</v>
          </cell>
          <cell r="N8">
            <v>252</v>
          </cell>
          <cell r="O8">
            <v>137</v>
          </cell>
          <cell r="P8">
            <v>532</v>
          </cell>
          <cell r="Q8">
            <v>487</v>
          </cell>
          <cell r="R8">
            <v>411</v>
          </cell>
          <cell r="S8">
            <v>355</v>
          </cell>
          <cell r="T8">
            <v>298</v>
          </cell>
          <cell r="U8">
            <v>209</v>
          </cell>
          <cell r="V8">
            <v>119</v>
          </cell>
          <cell r="W8">
            <v>532</v>
          </cell>
          <cell r="X8">
            <v>487</v>
          </cell>
          <cell r="Y8">
            <v>411</v>
          </cell>
          <cell r="Z8">
            <v>355</v>
          </cell>
          <cell r="AA8">
            <v>298</v>
          </cell>
          <cell r="AB8">
            <v>209</v>
          </cell>
          <cell r="AC8">
            <v>119</v>
          </cell>
        </row>
        <row r="9">
          <cell r="A9" t="str">
            <v>4-12-20</v>
          </cell>
          <cell r="B9">
            <v>648</v>
          </cell>
          <cell r="C9">
            <v>582</v>
          </cell>
          <cell r="D9">
            <v>483</v>
          </cell>
          <cell r="E9">
            <v>414</v>
          </cell>
          <cell r="F9">
            <v>345</v>
          </cell>
          <cell r="G9">
            <v>235</v>
          </cell>
          <cell r="H9">
            <v>125</v>
          </cell>
          <cell r="I9">
            <v>648</v>
          </cell>
          <cell r="J9">
            <v>582</v>
          </cell>
          <cell r="K9">
            <v>483</v>
          </cell>
          <cell r="L9">
            <v>414</v>
          </cell>
          <cell r="M9">
            <v>345</v>
          </cell>
          <cell r="N9">
            <v>235</v>
          </cell>
          <cell r="O9">
            <v>125</v>
          </cell>
          <cell r="P9">
            <v>485</v>
          </cell>
          <cell r="Q9">
            <v>446</v>
          </cell>
          <cell r="R9">
            <v>378</v>
          </cell>
          <cell r="S9">
            <v>329</v>
          </cell>
          <cell r="T9">
            <v>280</v>
          </cell>
          <cell r="U9">
            <v>195</v>
          </cell>
          <cell r="V9">
            <v>109</v>
          </cell>
          <cell r="W9">
            <v>485</v>
          </cell>
          <cell r="X9">
            <v>446</v>
          </cell>
          <cell r="Y9">
            <v>378</v>
          </cell>
          <cell r="Z9">
            <v>329</v>
          </cell>
          <cell r="AA9">
            <v>280</v>
          </cell>
          <cell r="AB9">
            <v>195</v>
          </cell>
          <cell r="AC9">
            <v>109</v>
          </cell>
        </row>
        <row r="10">
          <cell r="A10" t="str">
            <v>5-7-20</v>
          </cell>
          <cell r="B10">
            <v>1049</v>
          </cell>
          <cell r="C10">
            <v>918</v>
          </cell>
          <cell r="D10">
            <v>753</v>
          </cell>
          <cell r="E10">
            <v>643</v>
          </cell>
          <cell r="F10">
            <v>533</v>
          </cell>
          <cell r="G10">
            <v>367</v>
          </cell>
          <cell r="H10">
            <v>201</v>
          </cell>
          <cell r="I10">
            <v>917</v>
          </cell>
          <cell r="J10">
            <v>793</v>
          </cell>
          <cell r="K10">
            <v>642</v>
          </cell>
          <cell r="L10">
            <v>545</v>
          </cell>
          <cell r="M10">
            <v>448</v>
          </cell>
          <cell r="N10">
            <v>307</v>
          </cell>
          <cell r="O10">
            <v>166</v>
          </cell>
          <cell r="P10">
            <v>787</v>
          </cell>
          <cell r="Q10">
            <v>703</v>
          </cell>
          <cell r="R10">
            <v>590</v>
          </cell>
          <cell r="S10">
            <v>512</v>
          </cell>
          <cell r="T10">
            <v>433</v>
          </cell>
          <cell r="U10">
            <v>304</v>
          </cell>
          <cell r="V10">
            <v>175</v>
          </cell>
          <cell r="W10">
            <v>688</v>
          </cell>
          <cell r="X10">
            <v>607</v>
          </cell>
          <cell r="Y10">
            <v>503</v>
          </cell>
          <cell r="Z10">
            <v>434</v>
          </cell>
          <cell r="AA10">
            <v>364</v>
          </cell>
          <cell r="AB10">
            <v>255</v>
          </cell>
          <cell r="AC10">
            <v>145</v>
          </cell>
        </row>
        <row r="11">
          <cell r="A11" t="str">
            <v>5-8-20</v>
          </cell>
          <cell r="B11">
            <v>922</v>
          </cell>
          <cell r="C11">
            <v>814</v>
          </cell>
          <cell r="D11">
            <v>672</v>
          </cell>
          <cell r="E11">
            <v>576</v>
          </cell>
          <cell r="F11">
            <v>479</v>
          </cell>
          <cell r="G11">
            <v>330</v>
          </cell>
          <cell r="H11">
            <v>181</v>
          </cell>
          <cell r="I11">
            <v>862</v>
          </cell>
          <cell r="J11">
            <v>749</v>
          </cell>
          <cell r="K11">
            <v>607</v>
          </cell>
          <cell r="L11">
            <v>516</v>
          </cell>
          <cell r="M11">
            <v>425</v>
          </cell>
          <cell r="N11">
            <v>292</v>
          </cell>
          <cell r="O11">
            <v>158</v>
          </cell>
          <cell r="P11">
            <v>691</v>
          </cell>
          <cell r="Q11">
            <v>622</v>
          </cell>
          <cell r="R11">
            <v>526</v>
          </cell>
          <cell r="S11">
            <v>458</v>
          </cell>
          <cell r="T11">
            <v>389</v>
          </cell>
          <cell r="U11">
            <v>273</v>
          </cell>
          <cell r="V11">
            <v>157</v>
          </cell>
          <cell r="W11">
            <v>646</v>
          </cell>
          <cell r="X11">
            <v>572</v>
          </cell>
          <cell r="Y11">
            <v>475</v>
          </cell>
          <cell r="Z11">
            <v>410</v>
          </cell>
          <cell r="AA11">
            <v>345</v>
          </cell>
          <cell r="AB11">
            <v>241</v>
          </cell>
          <cell r="AC11">
            <v>137</v>
          </cell>
        </row>
        <row r="12">
          <cell r="A12" t="str">
            <v>5-9-20</v>
          </cell>
          <cell r="B12">
            <v>816</v>
          </cell>
          <cell r="C12">
            <v>724</v>
          </cell>
          <cell r="D12">
            <v>584</v>
          </cell>
          <cell r="E12">
            <v>502</v>
          </cell>
          <cell r="F12">
            <v>420</v>
          </cell>
          <cell r="G12">
            <v>289</v>
          </cell>
          <cell r="H12">
            <v>158</v>
          </cell>
          <cell r="I12">
            <v>816</v>
          </cell>
          <cell r="J12">
            <v>724</v>
          </cell>
          <cell r="K12">
            <v>584</v>
          </cell>
          <cell r="L12">
            <v>493</v>
          </cell>
          <cell r="M12">
            <v>402</v>
          </cell>
          <cell r="N12">
            <v>275</v>
          </cell>
          <cell r="O12">
            <v>147</v>
          </cell>
          <cell r="P12">
            <v>612</v>
          </cell>
          <cell r="Q12">
            <v>554</v>
          </cell>
          <cell r="R12">
            <v>457</v>
          </cell>
          <cell r="S12">
            <v>399</v>
          </cell>
          <cell r="T12">
            <v>341</v>
          </cell>
          <cell r="U12">
            <v>240</v>
          </cell>
          <cell r="V12">
            <v>138</v>
          </cell>
          <cell r="W12">
            <v>612</v>
          </cell>
          <cell r="X12">
            <v>554</v>
          </cell>
          <cell r="Y12">
            <v>457</v>
          </cell>
          <cell r="Z12">
            <v>392</v>
          </cell>
          <cell r="AA12">
            <v>327</v>
          </cell>
          <cell r="AB12">
            <v>228</v>
          </cell>
          <cell r="AC12">
            <v>129</v>
          </cell>
        </row>
        <row r="13">
          <cell r="A13" t="str">
            <v>5-10-20</v>
          </cell>
          <cell r="B13">
            <v>760</v>
          </cell>
          <cell r="C13">
            <v>677</v>
          </cell>
          <cell r="D13">
            <v>550</v>
          </cell>
          <cell r="E13">
            <v>469</v>
          </cell>
          <cell r="F13">
            <v>387</v>
          </cell>
          <cell r="G13">
            <v>265</v>
          </cell>
          <cell r="H13">
            <v>142</v>
          </cell>
          <cell r="I13">
            <v>760</v>
          </cell>
          <cell r="J13">
            <v>677</v>
          </cell>
          <cell r="K13">
            <v>550</v>
          </cell>
          <cell r="L13">
            <v>469</v>
          </cell>
          <cell r="M13">
            <v>387</v>
          </cell>
          <cell r="N13">
            <v>265</v>
          </cell>
          <cell r="O13">
            <v>142</v>
          </cell>
          <cell r="P13">
            <v>570</v>
          </cell>
          <cell r="Q13">
            <v>518</v>
          </cell>
          <cell r="R13">
            <v>431</v>
          </cell>
          <cell r="S13">
            <v>373</v>
          </cell>
          <cell r="T13">
            <v>315</v>
          </cell>
          <cell r="U13">
            <v>220</v>
          </cell>
          <cell r="V13">
            <v>124</v>
          </cell>
          <cell r="W13">
            <v>570</v>
          </cell>
          <cell r="X13">
            <v>518</v>
          </cell>
          <cell r="Y13">
            <v>431</v>
          </cell>
          <cell r="Z13">
            <v>373</v>
          </cell>
          <cell r="AA13">
            <v>315</v>
          </cell>
          <cell r="AB13">
            <v>220</v>
          </cell>
          <cell r="AC13">
            <v>124</v>
          </cell>
        </row>
        <row r="14">
          <cell r="A14" t="str">
            <v>5-11-20</v>
          </cell>
          <cell r="B14">
            <v>704</v>
          </cell>
          <cell r="C14">
            <v>630</v>
          </cell>
          <cell r="D14">
            <v>520</v>
          </cell>
          <cell r="E14">
            <v>443</v>
          </cell>
          <cell r="F14">
            <v>365</v>
          </cell>
          <cell r="G14">
            <v>251</v>
          </cell>
          <cell r="H14">
            <v>137</v>
          </cell>
          <cell r="I14">
            <v>704</v>
          </cell>
          <cell r="J14">
            <v>630</v>
          </cell>
          <cell r="K14">
            <v>520</v>
          </cell>
          <cell r="L14">
            <v>443</v>
          </cell>
          <cell r="M14">
            <v>365</v>
          </cell>
          <cell r="N14">
            <v>251</v>
          </cell>
          <cell r="O14">
            <v>137</v>
          </cell>
          <cell r="P14">
            <v>528</v>
          </cell>
          <cell r="Q14">
            <v>482</v>
          </cell>
          <cell r="R14">
            <v>407</v>
          </cell>
          <cell r="S14">
            <v>352</v>
          </cell>
          <cell r="T14">
            <v>296</v>
          </cell>
          <cell r="U14">
            <v>208</v>
          </cell>
          <cell r="V14">
            <v>119</v>
          </cell>
          <cell r="W14">
            <v>528</v>
          </cell>
          <cell r="X14">
            <v>482</v>
          </cell>
          <cell r="Y14">
            <v>407</v>
          </cell>
          <cell r="Z14">
            <v>352</v>
          </cell>
          <cell r="AA14">
            <v>296</v>
          </cell>
          <cell r="AB14">
            <v>208</v>
          </cell>
          <cell r="AC14">
            <v>119</v>
          </cell>
        </row>
        <row r="15">
          <cell r="A15" t="str">
            <v>5-12-20</v>
          </cell>
          <cell r="B15">
            <v>645</v>
          </cell>
          <cell r="C15">
            <v>579</v>
          </cell>
          <cell r="D15">
            <v>481</v>
          </cell>
          <cell r="E15">
            <v>412</v>
          </cell>
          <cell r="F15">
            <v>343</v>
          </cell>
          <cell r="G15">
            <v>235</v>
          </cell>
          <cell r="H15">
            <v>126</v>
          </cell>
          <cell r="I15">
            <v>645</v>
          </cell>
          <cell r="J15">
            <v>579</v>
          </cell>
          <cell r="K15">
            <v>481</v>
          </cell>
          <cell r="L15">
            <v>412</v>
          </cell>
          <cell r="M15">
            <v>343</v>
          </cell>
          <cell r="N15">
            <v>235</v>
          </cell>
          <cell r="O15">
            <v>126</v>
          </cell>
          <cell r="P15">
            <v>483</v>
          </cell>
          <cell r="Q15">
            <v>443</v>
          </cell>
          <cell r="R15">
            <v>376</v>
          </cell>
          <cell r="S15">
            <v>328</v>
          </cell>
          <cell r="T15">
            <v>279</v>
          </cell>
          <cell r="U15">
            <v>194</v>
          </cell>
          <cell r="V15">
            <v>109</v>
          </cell>
          <cell r="W15">
            <v>483</v>
          </cell>
          <cell r="X15">
            <v>443</v>
          </cell>
          <cell r="Y15">
            <v>376</v>
          </cell>
          <cell r="Z15">
            <v>328</v>
          </cell>
          <cell r="AA15">
            <v>279</v>
          </cell>
          <cell r="AB15">
            <v>194</v>
          </cell>
          <cell r="AC15">
            <v>109</v>
          </cell>
        </row>
        <row r="16">
          <cell r="A16" t="str">
            <v>5-13-20</v>
          </cell>
          <cell r="B16">
            <v>581</v>
          </cell>
          <cell r="C16">
            <v>525</v>
          </cell>
          <cell r="D16">
            <v>437</v>
          </cell>
          <cell r="E16">
            <v>375</v>
          </cell>
          <cell r="F16">
            <v>313</v>
          </cell>
          <cell r="G16">
            <v>214</v>
          </cell>
          <cell r="H16">
            <v>114</v>
          </cell>
          <cell r="I16">
            <v>581</v>
          </cell>
          <cell r="J16">
            <v>525</v>
          </cell>
          <cell r="K16">
            <v>437</v>
          </cell>
          <cell r="L16">
            <v>375</v>
          </cell>
          <cell r="M16">
            <v>313</v>
          </cell>
          <cell r="N16">
            <v>214</v>
          </cell>
          <cell r="O16">
            <v>114</v>
          </cell>
          <cell r="P16">
            <v>436</v>
          </cell>
          <cell r="Q16">
            <v>402</v>
          </cell>
          <cell r="R16">
            <v>342</v>
          </cell>
          <cell r="S16">
            <v>299</v>
          </cell>
          <cell r="T16">
            <v>255</v>
          </cell>
          <cell r="U16">
            <v>177</v>
          </cell>
          <cell r="V16">
            <v>99</v>
          </cell>
          <cell r="W16">
            <v>436</v>
          </cell>
          <cell r="X16">
            <v>402</v>
          </cell>
          <cell r="Y16">
            <v>342</v>
          </cell>
          <cell r="Z16">
            <v>299</v>
          </cell>
          <cell r="AA16">
            <v>255</v>
          </cell>
          <cell r="AB16">
            <v>177</v>
          </cell>
          <cell r="AC16">
            <v>99</v>
          </cell>
        </row>
        <row r="17">
          <cell r="A17" t="str">
            <v>6-8-20</v>
          </cell>
          <cell r="B17">
            <v>917</v>
          </cell>
          <cell r="C17">
            <v>807</v>
          </cell>
          <cell r="D17">
            <v>665</v>
          </cell>
          <cell r="E17">
            <v>569</v>
          </cell>
          <cell r="F17">
            <v>473</v>
          </cell>
          <cell r="G17">
            <v>325</v>
          </cell>
          <cell r="H17">
            <v>177</v>
          </cell>
          <cell r="I17">
            <v>859</v>
          </cell>
          <cell r="J17">
            <v>745</v>
          </cell>
          <cell r="K17">
            <v>605</v>
          </cell>
          <cell r="L17">
            <v>514</v>
          </cell>
          <cell r="M17">
            <v>423</v>
          </cell>
          <cell r="N17">
            <v>289</v>
          </cell>
          <cell r="O17">
            <v>155</v>
          </cell>
          <cell r="P17">
            <v>688</v>
          </cell>
          <cell r="Q17">
            <v>617</v>
          </cell>
          <cell r="R17">
            <v>520</v>
          </cell>
          <cell r="S17">
            <v>452</v>
          </cell>
          <cell r="T17">
            <v>384</v>
          </cell>
          <cell r="U17">
            <v>269</v>
          </cell>
          <cell r="V17">
            <v>154</v>
          </cell>
          <cell r="W17">
            <v>644</v>
          </cell>
          <cell r="X17">
            <v>570</v>
          </cell>
          <cell r="Y17">
            <v>473</v>
          </cell>
          <cell r="Z17">
            <v>408</v>
          </cell>
          <cell r="AA17">
            <v>343</v>
          </cell>
          <cell r="AB17">
            <v>239</v>
          </cell>
          <cell r="AC17">
            <v>135</v>
          </cell>
        </row>
        <row r="18">
          <cell r="A18" t="str">
            <v>6-9-20</v>
          </cell>
          <cell r="B18">
            <v>810</v>
          </cell>
          <cell r="C18">
            <v>718</v>
          </cell>
          <cell r="D18">
            <v>578</v>
          </cell>
          <cell r="E18">
            <v>497</v>
          </cell>
          <cell r="F18">
            <v>415</v>
          </cell>
          <cell r="G18">
            <v>286</v>
          </cell>
          <cell r="H18">
            <v>156</v>
          </cell>
          <cell r="I18">
            <v>810</v>
          </cell>
          <cell r="J18">
            <v>718</v>
          </cell>
          <cell r="K18">
            <v>578</v>
          </cell>
          <cell r="L18">
            <v>489</v>
          </cell>
          <cell r="M18">
            <v>400</v>
          </cell>
          <cell r="N18">
            <v>274</v>
          </cell>
          <cell r="O18">
            <v>147</v>
          </cell>
          <cell r="P18">
            <v>607</v>
          </cell>
          <cell r="Q18">
            <v>549</v>
          </cell>
          <cell r="R18">
            <v>453</v>
          </cell>
          <cell r="S18">
            <v>395</v>
          </cell>
          <cell r="T18">
            <v>337</v>
          </cell>
          <cell r="U18">
            <v>237</v>
          </cell>
          <cell r="V18">
            <v>136</v>
          </cell>
          <cell r="W18">
            <v>607</v>
          </cell>
          <cell r="X18">
            <v>549</v>
          </cell>
          <cell r="Y18">
            <v>453</v>
          </cell>
          <cell r="Z18">
            <v>389</v>
          </cell>
          <cell r="AA18">
            <v>325</v>
          </cell>
          <cell r="AB18">
            <v>227</v>
          </cell>
          <cell r="AC18">
            <v>128</v>
          </cell>
        </row>
        <row r="19">
          <cell r="A19" t="str">
            <v>6-10-20</v>
          </cell>
          <cell r="B19">
            <v>755</v>
          </cell>
          <cell r="C19">
            <v>671</v>
          </cell>
          <cell r="D19">
            <v>544</v>
          </cell>
          <cell r="E19">
            <v>464</v>
          </cell>
          <cell r="F19">
            <v>384</v>
          </cell>
          <cell r="G19">
            <v>263</v>
          </cell>
          <cell r="H19">
            <v>141</v>
          </cell>
          <cell r="I19">
            <v>755</v>
          </cell>
          <cell r="J19">
            <v>671</v>
          </cell>
          <cell r="K19">
            <v>544</v>
          </cell>
          <cell r="L19">
            <v>464</v>
          </cell>
          <cell r="M19">
            <v>384</v>
          </cell>
          <cell r="N19">
            <v>263</v>
          </cell>
          <cell r="O19">
            <v>141</v>
          </cell>
          <cell r="P19">
            <v>566</v>
          </cell>
          <cell r="Q19">
            <v>513</v>
          </cell>
          <cell r="R19">
            <v>426</v>
          </cell>
          <cell r="S19">
            <v>369</v>
          </cell>
          <cell r="T19">
            <v>312</v>
          </cell>
          <cell r="U19">
            <v>217</v>
          </cell>
          <cell r="V19">
            <v>122</v>
          </cell>
          <cell r="W19">
            <v>566</v>
          </cell>
          <cell r="X19">
            <v>513</v>
          </cell>
          <cell r="Y19">
            <v>426</v>
          </cell>
          <cell r="Z19">
            <v>369</v>
          </cell>
          <cell r="AA19">
            <v>312</v>
          </cell>
          <cell r="AB19">
            <v>217</v>
          </cell>
          <cell r="AC19">
            <v>122</v>
          </cell>
        </row>
        <row r="20">
          <cell r="A20" t="str">
            <v>6-11-20</v>
          </cell>
          <cell r="B20">
            <v>697</v>
          </cell>
          <cell r="C20">
            <v>623</v>
          </cell>
          <cell r="D20">
            <v>515</v>
          </cell>
          <cell r="E20">
            <v>438</v>
          </cell>
          <cell r="F20">
            <v>361</v>
          </cell>
          <cell r="G20">
            <v>248</v>
          </cell>
          <cell r="H20">
            <v>135</v>
          </cell>
          <cell r="I20">
            <v>697</v>
          </cell>
          <cell r="J20">
            <v>623</v>
          </cell>
          <cell r="K20">
            <v>515</v>
          </cell>
          <cell r="L20">
            <v>438</v>
          </cell>
          <cell r="M20">
            <v>361</v>
          </cell>
          <cell r="N20">
            <v>248</v>
          </cell>
          <cell r="O20">
            <v>135</v>
          </cell>
          <cell r="P20">
            <v>523</v>
          </cell>
          <cell r="Q20">
            <v>477</v>
          </cell>
          <cell r="R20">
            <v>403</v>
          </cell>
          <cell r="S20">
            <v>348</v>
          </cell>
          <cell r="T20">
            <v>293</v>
          </cell>
          <cell r="U20">
            <v>205</v>
          </cell>
          <cell r="V20">
            <v>117</v>
          </cell>
          <cell r="W20">
            <v>523</v>
          </cell>
          <cell r="X20">
            <v>477</v>
          </cell>
          <cell r="Y20">
            <v>403</v>
          </cell>
          <cell r="Z20">
            <v>348</v>
          </cell>
          <cell r="AA20">
            <v>293</v>
          </cell>
          <cell r="AB20">
            <v>205</v>
          </cell>
          <cell r="AC20">
            <v>117</v>
          </cell>
        </row>
        <row r="21">
          <cell r="A21" t="str">
            <v>6-12-20</v>
          </cell>
          <cell r="B21">
            <v>640</v>
          </cell>
          <cell r="C21">
            <v>576</v>
          </cell>
          <cell r="D21">
            <v>477</v>
          </cell>
          <cell r="E21">
            <v>409</v>
          </cell>
          <cell r="F21">
            <v>341</v>
          </cell>
          <cell r="G21">
            <v>234</v>
          </cell>
          <cell r="H21">
            <v>126</v>
          </cell>
          <cell r="I21">
            <v>640</v>
          </cell>
          <cell r="J21">
            <v>576</v>
          </cell>
          <cell r="K21">
            <v>477</v>
          </cell>
          <cell r="L21">
            <v>409</v>
          </cell>
          <cell r="M21">
            <v>341</v>
          </cell>
          <cell r="N21">
            <v>234</v>
          </cell>
          <cell r="O21">
            <v>126</v>
          </cell>
          <cell r="P21">
            <v>480</v>
          </cell>
          <cell r="Q21">
            <v>440</v>
          </cell>
          <cell r="R21">
            <v>374</v>
          </cell>
          <cell r="S21">
            <v>326</v>
          </cell>
          <cell r="T21">
            <v>277</v>
          </cell>
          <cell r="U21">
            <v>193</v>
          </cell>
          <cell r="V21">
            <v>109</v>
          </cell>
          <cell r="W21">
            <v>480</v>
          </cell>
          <cell r="X21">
            <v>440</v>
          </cell>
          <cell r="Y21">
            <v>374</v>
          </cell>
          <cell r="Z21">
            <v>326</v>
          </cell>
          <cell r="AA21">
            <v>277</v>
          </cell>
          <cell r="AB21">
            <v>193</v>
          </cell>
          <cell r="AC21">
            <v>109</v>
          </cell>
        </row>
        <row r="22">
          <cell r="A22" t="str">
            <v>6-13-20</v>
          </cell>
          <cell r="B22">
            <v>578</v>
          </cell>
          <cell r="C22">
            <v>522</v>
          </cell>
          <cell r="D22">
            <v>434</v>
          </cell>
          <cell r="E22">
            <v>373</v>
          </cell>
          <cell r="F22">
            <v>312</v>
          </cell>
          <cell r="G22">
            <v>213</v>
          </cell>
          <cell r="H22">
            <v>114</v>
          </cell>
          <cell r="I22">
            <v>578</v>
          </cell>
          <cell r="J22">
            <v>522</v>
          </cell>
          <cell r="K22">
            <v>434</v>
          </cell>
          <cell r="L22">
            <v>373</v>
          </cell>
          <cell r="M22">
            <v>312</v>
          </cell>
          <cell r="N22">
            <v>213</v>
          </cell>
          <cell r="O22">
            <v>114</v>
          </cell>
          <cell r="P22">
            <v>433</v>
          </cell>
          <cell r="Q22">
            <v>399</v>
          </cell>
          <cell r="R22">
            <v>340</v>
          </cell>
          <cell r="S22">
            <v>297</v>
          </cell>
          <cell r="T22">
            <v>253</v>
          </cell>
          <cell r="U22">
            <v>176</v>
          </cell>
          <cell r="V22">
            <v>99</v>
          </cell>
          <cell r="W22">
            <v>433</v>
          </cell>
          <cell r="X22">
            <v>399</v>
          </cell>
          <cell r="Y22">
            <v>340</v>
          </cell>
          <cell r="Z22">
            <v>297</v>
          </cell>
          <cell r="AA22">
            <v>253</v>
          </cell>
          <cell r="AB22">
            <v>176</v>
          </cell>
          <cell r="AC22">
            <v>99</v>
          </cell>
        </row>
        <row r="23">
          <cell r="A23" t="str">
            <v>6-14-20</v>
          </cell>
          <cell r="B23">
            <v>513</v>
          </cell>
          <cell r="C23">
            <v>465</v>
          </cell>
          <cell r="D23">
            <v>389</v>
          </cell>
          <cell r="E23">
            <v>336</v>
          </cell>
          <cell r="F23">
            <v>282</v>
          </cell>
          <cell r="G23">
            <v>192</v>
          </cell>
          <cell r="H23">
            <v>102</v>
          </cell>
          <cell r="I23">
            <v>513</v>
          </cell>
          <cell r="J23">
            <v>465</v>
          </cell>
          <cell r="K23">
            <v>389</v>
          </cell>
          <cell r="L23">
            <v>336</v>
          </cell>
          <cell r="M23">
            <v>282</v>
          </cell>
          <cell r="N23">
            <v>192</v>
          </cell>
          <cell r="O23">
            <v>102</v>
          </cell>
          <cell r="P23">
            <v>385</v>
          </cell>
          <cell r="Q23">
            <v>356</v>
          </cell>
          <cell r="R23">
            <v>305</v>
          </cell>
          <cell r="S23">
            <v>267</v>
          </cell>
          <cell r="T23">
            <v>229</v>
          </cell>
          <cell r="U23">
            <v>159</v>
          </cell>
          <cell r="V23">
            <v>89</v>
          </cell>
          <cell r="W23">
            <v>385</v>
          </cell>
          <cell r="X23">
            <v>356</v>
          </cell>
          <cell r="Y23">
            <v>305</v>
          </cell>
          <cell r="Z23">
            <v>267</v>
          </cell>
          <cell r="AA23">
            <v>229</v>
          </cell>
          <cell r="AB23">
            <v>159</v>
          </cell>
          <cell r="AC23">
            <v>89</v>
          </cell>
        </row>
        <row r="24">
          <cell r="A24" t="str">
            <v>7-9-20</v>
          </cell>
          <cell r="B24">
            <v>805</v>
          </cell>
          <cell r="C24">
            <v>712</v>
          </cell>
          <cell r="D24">
            <v>573</v>
          </cell>
          <cell r="E24">
            <v>490</v>
          </cell>
          <cell r="F24">
            <v>407</v>
          </cell>
          <cell r="G24">
            <v>280</v>
          </cell>
          <cell r="H24">
            <v>152</v>
          </cell>
          <cell r="I24">
            <v>805</v>
          </cell>
          <cell r="J24">
            <v>712</v>
          </cell>
          <cell r="K24">
            <v>573</v>
          </cell>
          <cell r="L24">
            <v>485</v>
          </cell>
          <cell r="M24">
            <v>397</v>
          </cell>
          <cell r="N24">
            <v>271</v>
          </cell>
          <cell r="O24">
            <v>145</v>
          </cell>
          <cell r="P24">
            <v>603</v>
          </cell>
          <cell r="Q24">
            <v>545</v>
          </cell>
          <cell r="R24">
            <v>449</v>
          </cell>
          <cell r="S24">
            <v>390</v>
          </cell>
          <cell r="T24">
            <v>331</v>
          </cell>
          <cell r="U24">
            <v>232</v>
          </cell>
          <cell r="V24">
            <v>133</v>
          </cell>
          <cell r="W24">
            <v>603</v>
          </cell>
          <cell r="X24">
            <v>545</v>
          </cell>
          <cell r="Y24">
            <v>449</v>
          </cell>
          <cell r="Z24">
            <v>386</v>
          </cell>
          <cell r="AA24">
            <v>323</v>
          </cell>
          <cell r="AB24">
            <v>225</v>
          </cell>
          <cell r="AC24">
            <v>127</v>
          </cell>
        </row>
        <row r="25">
          <cell r="A25" t="str">
            <v>7-10-20</v>
          </cell>
          <cell r="B25">
            <v>748</v>
          </cell>
          <cell r="C25">
            <v>666</v>
          </cell>
          <cell r="D25">
            <v>545</v>
          </cell>
          <cell r="E25">
            <v>462</v>
          </cell>
          <cell r="F25">
            <v>379</v>
          </cell>
          <cell r="G25">
            <v>259</v>
          </cell>
          <cell r="H25">
            <v>139</v>
          </cell>
          <cell r="I25">
            <v>748</v>
          </cell>
          <cell r="J25">
            <v>666</v>
          </cell>
          <cell r="K25">
            <v>545</v>
          </cell>
          <cell r="L25">
            <v>462</v>
          </cell>
          <cell r="M25">
            <v>379</v>
          </cell>
          <cell r="N25">
            <v>259</v>
          </cell>
          <cell r="O25">
            <v>139</v>
          </cell>
          <cell r="P25">
            <v>561</v>
          </cell>
          <cell r="Q25">
            <v>509</v>
          </cell>
          <cell r="R25">
            <v>427</v>
          </cell>
          <cell r="S25">
            <v>367</v>
          </cell>
          <cell r="T25">
            <v>307</v>
          </cell>
          <cell r="U25">
            <v>214</v>
          </cell>
          <cell r="V25">
            <v>121</v>
          </cell>
          <cell r="W25">
            <v>561</v>
          </cell>
          <cell r="X25">
            <v>509</v>
          </cell>
          <cell r="Y25">
            <v>427</v>
          </cell>
          <cell r="Z25">
            <v>367</v>
          </cell>
          <cell r="AA25">
            <v>307</v>
          </cell>
          <cell r="AB25">
            <v>214</v>
          </cell>
          <cell r="AC25">
            <v>121</v>
          </cell>
        </row>
        <row r="26">
          <cell r="A26" t="str">
            <v>7-11-20</v>
          </cell>
          <cell r="B26">
            <v>691</v>
          </cell>
          <cell r="C26">
            <v>617</v>
          </cell>
          <cell r="D26">
            <v>508</v>
          </cell>
          <cell r="E26">
            <v>432</v>
          </cell>
          <cell r="F26">
            <v>356</v>
          </cell>
          <cell r="G26">
            <v>244</v>
          </cell>
          <cell r="H26">
            <v>131</v>
          </cell>
          <cell r="I26">
            <v>691</v>
          </cell>
          <cell r="J26">
            <v>617</v>
          </cell>
          <cell r="K26">
            <v>508</v>
          </cell>
          <cell r="L26">
            <v>432</v>
          </cell>
          <cell r="M26">
            <v>356</v>
          </cell>
          <cell r="N26">
            <v>244</v>
          </cell>
          <cell r="O26">
            <v>131</v>
          </cell>
          <cell r="P26">
            <v>518</v>
          </cell>
          <cell r="Q26">
            <v>472</v>
          </cell>
          <cell r="R26">
            <v>398</v>
          </cell>
          <cell r="S26">
            <v>344</v>
          </cell>
          <cell r="T26">
            <v>289</v>
          </cell>
          <cell r="U26">
            <v>202</v>
          </cell>
          <cell r="V26">
            <v>114</v>
          </cell>
          <cell r="W26">
            <v>518</v>
          </cell>
          <cell r="X26">
            <v>472</v>
          </cell>
          <cell r="Y26">
            <v>398</v>
          </cell>
          <cell r="Z26">
            <v>344</v>
          </cell>
          <cell r="AA26">
            <v>289</v>
          </cell>
          <cell r="AB26">
            <v>202</v>
          </cell>
          <cell r="AC26">
            <v>114</v>
          </cell>
        </row>
        <row r="27">
          <cell r="A27" t="str">
            <v>7-12-20</v>
          </cell>
          <cell r="B27">
            <v>634</v>
          </cell>
          <cell r="C27">
            <v>569</v>
          </cell>
          <cell r="D27">
            <v>471</v>
          </cell>
          <cell r="E27">
            <v>404</v>
          </cell>
          <cell r="F27">
            <v>337</v>
          </cell>
          <cell r="G27">
            <v>231</v>
          </cell>
          <cell r="H27">
            <v>124</v>
          </cell>
          <cell r="I27">
            <v>634</v>
          </cell>
          <cell r="J27">
            <v>569</v>
          </cell>
          <cell r="K27">
            <v>471</v>
          </cell>
          <cell r="L27">
            <v>404</v>
          </cell>
          <cell r="M27">
            <v>337</v>
          </cell>
          <cell r="N27">
            <v>231</v>
          </cell>
          <cell r="O27">
            <v>124</v>
          </cell>
          <cell r="P27">
            <v>475</v>
          </cell>
          <cell r="Q27">
            <v>435</v>
          </cell>
          <cell r="R27">
            <v>369</v>
          </cell>
          <cell r="S27">
            <v>322</v>
          </cell>
          <cell r="T27">
            <v>274</v>
          </cell>
          <cell r="U27">
            <v>191</v>
          </cell>
          <cell r="V27">
            <v>108</v>
          </cell>
          <cell r="W27">
            <v>475</v>
          </cell>
          <cell r="X27">
            <v>435</v>
          </cell>
          <cell r="Y27">
            <v>369</v>
          </cell>
          <cell r="Z27">
            <v>322</v>
          </cell>
          <cell r="AA27">
            <v>274</v>
          </cell>
          <cell r="AB27">
            <v>191</v>
          </cell>
          <cell r="AC27">
            <v>108</v>
          </cell>
        </row>
        <row r="28">
          <cell r="A28" t="str">
            <v>7-13-20</v>
          </cell>
          <cell r="B28">
            <v>574</v>
          </cell>
          <cell r="C28">
            <v>519</v>
          </cell>
          <cell r="D28">
            <v>432</v>
          </cell>
          <cell r="E28">
            <v>372</v>
          </cell>
          <cell r="F28">
            <v>311</v>
          </cell>
          <cell r="G28">
            <v>213</v>
          </cell>
          <cell r="H28">
            <v>114</v>
          </cell>
          <cell r="I28">
            <v>574</v>
          </cell>
          <cell r="J28">
            <v>519</v>
          </cell>
          <cell r="K28">
            <v>432</v>
          </cell>
          <cell r="L28">
            <v>372</v>
          </cell>
          <cell r="M28">
            <v>311</v>
          </cell>
          <cell r="N28">
            <v>213</v>
          </cell>
          <cell r="O28">
            <v>114</v>
          </cell>
          <cell r="P28">
            <v>430</v>
          </cell>
          <cell r="Q28">
            <v>397</v>
          </cell>
          <cell r="R28">
            <v>338</v>
          </cell>
          <cell r="S28">
            <v>296</v>
          </cell>
          <cell r="T28">
            <v>253</v>
          </cell>
          <cell r="U28">
            <v>176</v>
          </cell>
          <cell r="V28">
            <v>99</v>
          </cell>
          <cell r="W28">
            <v>430</v>
          </cell>
          <cell r="X28">
            <v>397</v>
          </cell>
          <cell r="Y28">
            <v>338</v>
          </cell>
          <cell r="Z28">
            <v>296</v>
          </cell>
          <cell r="AA28">
            <v>253</v>
          </cell>
          <cell r="AB28">
            <v>176</v>
          </cell>
          <cell r="AC28">
            <v>99</v>
          </cell>
        </row>
        <row r="29">
          <cell r="A29" t="str">
            <v>7-14-20</v>
          </cell>
          <cell r="B29">
            <v>509</v>
          </cell>
          <cell r="C29">
            <v>461</v>
          </cell>
          <cell r="D29">
            <v>387</v>
          </cell>
          <cell r="E29">
            <v>334</v>
          </cell>
          <cell r="F29">
            <v>280</v>
          </cell>
          <cell r="G29">
            <v>191</v>
          </cell>
          <cell r="H29">
            <v>102</v>
          </cell>
          <cell r="I29">
            <v>509</v>
          </cell>
          <cell r="J29">
            <v>461</v>
          </cell>
          <cell r="K29">
            <v>387</v>
          </cell>
          <cell r="L29">
            <v>334</v>
          </cell>
          <cell r="M29">
            <v>280</v>
          </cell>
          <cell r="N29">
            <v>191</v>
          </cell>
          <cell r="O29">
            <v>102</v>
          </cell>
          <cell r="P29">
            <v>381</v>
          </cell>
          <cell r="Q29">
            <v>353</v>
          </cell>
          <cell r="R29">
            <v>303</v>
          </cell>
          <cell r="S29">
            <v>265</v>
          </cell>
          <cell r="T29">
            <v>227</v>
          </cell>
          <cell r="U29">
            <v>158</v>
          </cell>
          <cell r="V29">
            <v>89</v>
          </cell>
          <cell r="W29">
            <v>381</v>
          </cell>
          <cell r="X29">
            <v>353</v>
          </cell>
          <cell r="Y29">
            <v>303</v>
          </cell>
          <cell r="Z29">
            <v>265</v>
          </cell>
          <cell r="AA29">
            <v>227</v>
          </cell>
          <cell r="AB29">
            <v>158</v>
          </cell>
          <cell r="AC29">
            <v>89</v>
          </cell>
        </row>
        <row r="30">
          <cell r="A30" t="str">
            <v>7-15-20</v>
          </cell>
          <cell r="B30">
            <v>441</v>
          </cell>
          <cell r="C30">
            <v>402</v>
          </cell>
          <cell r="D30">
            <v>340</v>
          </cell>
          <cell r="E30">
            <v>294</v>
          </cell>
          <cell r="F30">
            <v>248</v>
          </cell>
          <cell r="G30">
            <v>170</v>
          </cell>
          <cell r="H30">
            <v>92</v>
          </cell>
          <cell r="I30">
            <v>441</v>
          </cell>
          <cell r="J30">
            <v>402</v>
          </cell>
          <cell r="K30">
            <v>340</v>
          </cell>
          <cell r="L30">
            <v>294</v>
          </cell>
          <cell r="M30">
            <v>248</v>
          </cell>
          <cell r="N30">
            <v>170</v>
          </cell>
          <cell r="O30">
            <v>92</v>
          </cell>
          <cell r="P30">
            <v>330</v>
          </cell>
          <cell r="Q30">
            <v>308</v>
          </cell>
          <cell r="R30">
            <v>266</v>
          </cell>
          <cell r="S30">
            <v>234</v>
          </cell>
          <cell r="T30">
            <v>202</v>
          </cell>
          <cell r="U30">
            <v>141</v>
          </cell>
          <cell r="V30">
            <v>80</v>
          </cell>
          <cell r="W30">
            <v>330</v>
          </cell>
          <cell r="X30">
            <v>308</v>
          </cell>
          <cell r="Y30">
            <v>266</v>
          </cell>
          <cell r="Z30">
            <v>234</v>
          </cell>
          <cell r="AA30">
            <v>202</v>
          </cell>
          <cell r="AB30">
            <v>141</v>
          </cell>
          <cell r="AC30">
            <v>80</v>
          </cell>
        </row>
        <row r="31">
          <cell r="A31" t="str">
            <v>8-10-20</v>
          </cell>
          <cell r="B31">
            <v>742</v>
          </cell>
          <cell r="C31">
            <v>659</v>
          </cell>
          <cell r="D31">
            <v>539</v>
          </cell>
          <cell r="E31">
            <v>457</v>
          </cell>
          <cell r="F31">
            <v>374</v>
          </cell>
          <cell r="G31">
            <v>256</v>
          </cell>
          <cell r="H31">
            <v>137</v>
          </cell>
          <cell r="I31">
            <v>742</v>
          </cell>
          <cell r="J31">
            <v>659</v>
          </cell>
          <cell r="K31">
            <v>539</v>
          </cell>
          <cell r="L31">
            <v>457</v>
          </cell>
          <cell r="M31">
            <v>374</v>
          </cell>
          <cell r="N31">
            <v>256</v>
          </cell>
          <cell r="O31">
            <v>137</v>
          </cell>
          <cell r="P31">
            <v>556</v>
          </cell>
          <cell r="Q31">
            <v>504</v>
          </cell>
          <cell r="R31">
            <v>422</v>
          </cell>
          <cell r="S31">
            <v>363</v>
          </cell>
          <cell r="T31">
            <v>304</v>
          </cell>
          <cell r="U31">
            <v>212</v>
          </cell>
          <cell r="V31">
            <v>119</v>
          </cell>
          <cell r="W31">
            <v>556</v>
          </cell>
          <cell r="X31">
            <v>504</v>
          </cell>
          <cell r="Y31">
            <v>422</v>
          </cell>
          <cell r="Z31">
            <v>363</v>
          </cell>
          <cell r="AA31">
            <v>304</v>
          </cell>
          <cell r="AB31">
            <v>212</v>
          </cell>
          <cell r="AC31">
            <v>119</v>
          </cell>
        </row>
        <row r="32">
          <cell r="A32" t="str">
            <v>8-11-20</v>
          </cell>
          <cell r="B32">
            <v>685</v>
          </cell>
          <cell r="C32">
            <v>611</v>
          </cell>
          <cell r="D32">
            <v>503</v>
          </cell>
          <cell r="E32">
            <v>427</v>
          </cell>
          <cell r="F32">
            <v>351</v>
          </cell>
          <cell r="G32">
            <v>240</v>
          </cell>
          <cell r="H32">
            <v>129</v>
          </cell>
          <cell r="I32">
            <v>685</v>
          </cell>
          <cell r="J32">
            <v>611</v>
          </cell>
          <cell r="K32">
            <v>503</v>
          </cell>
          <cell r="L32">
            <v>427</v>
          </cell>
          <cell r="M32">
            <v>351</v>
          </cell>
          <cell r="N32">
            <v>240</v>
          </cell>
          <cell r="O32">
            <v>129</v>
          </cell>
          <cell r="P32">
            <v>514</v>
          </cell>
          <cell r="Q32">
            <v>467</v>
          </cell>
          <cell r="R32">
            <v>393</v>
          </cell>
          <cell r="S32">
            <v>339</v>
          </cell>
          <cell r="T32">
            <v>285</v>
          </cell>
          <cell r="U32">
            <v>199</v>
          </cell>
          <cell r="V32">
            <v>112</v>
          </cell>
          <cell r="W32">
            <v>514</v>
          </cell>
          <cell r="X32">
            <v>467</v>
          </cell>
          <cell r="Y32">
            <v>393</v>
          </cell>
          <cell r="Z32">
            <v>339</v>
          </cell>
          <cell r="AA32">
            <v>285</v>
          </cell>
          <cell r="AB32">
            <v>199</v>
          </cell>
          <cell r="AC32">
            <v>112</v>
          </cell>
        </row>
        <row r="33">
          <cell r="A33" t="str">
            <v>8-12-20</v>
          </cell>
          <cell r="B33">
            <v>627</v>
          </cell>
          <cell r="C33">
            <v>562</v>
          </cell>
          <cell r="D33">
            <v>465</v>
          </cell>
          <cell r="E33">
            <v>399</v>
          </cell>
          <cell r="F33">
            <v>332</v>
          </cell>
          <cell r="G33">
            <v>227</v>
          </cell>
          <cell r="H33">
            <v>122</v>
          </cell>
          <cell r="I33">
            <v>627</v>
          </cell>
          <cell r="J33">
            <v>562</v>
          </cell>
          <cell r="K33">
            <v>465</v>
          </cell>
          <cell r="L33">
            <v>399</v>
          </cell>
          <cell r="M33">
            <v>332</v>
          </cell>
          <cell r="N33">
            <v>227</v>
          </cell>
          <cell r="O33">
            <v>122</v>
          </cell>
          <cell r="P33">
            <v>470</v>
          </cell>
          <cell r="Q33">
            <v>430</v>
          </cell>
          <cell r="R33">
            <v>364</v>
          </cell>
          <cell r="S33">
            <v>317</v>
          </cell>
          <cell r="T33">
            <v>270</v>
          </cell>
          <cell r="U33">
            <v>189</v>
          </cell>
          <cell r="V33">
            <v>107</v>
          </cell>
          <cell r="W33">
            <v>470</v>
          </cell>
          <cell r="X33">
            <v>430</v>
          </cell>
          <cell r="Y33">
            <v>364</v>
          </cell>
          <cell r="Z33">
            <v>317</v>
          </cell>
          <cell r="AA33">
            <v>270</v>
          </cell>
          <cell r="AB33">
            <v>189</v>
          </cell>
          <cell r="AC33">
            <v>107</v>
          </cell>
        </row>
        <row r="34">
          <cell r="A34" t="str">
            <v>8-13-20</v>
          </cell>
          <cell r="B34">
            <v>568</v>
          </cell>
          <cell r="C34">
            <v>512</v>
          </cell>
          <cell r="D34">
            <v>426</v>
          </cell>
          <cell r="E34">
            <v>367</v>
          </cell>
          <cell r="F34">
            <v>307</v>
          </cell>
          <cell r="G34">
            <v>211</v>
          </cell>
          <cell r="H34">
            <v>114</v>
          </cell>
          <cell r="I34">
            <v>568</v>
          </cell>
          <cell r="J34">
            <v>512</v>
          </cell>
          <cell r="K34">
            <v>426</v>
          </cell>
          <cell r="L34">
            <v>367</v>
          </cell>
          <cell r="M34">
            <v>307</v>
          </cell>
          <cell r="N34">
            <v>211</v>
          </cell>
          <cell r="O34">
            <v>114</v>
          </cell>
          <cell r="P34">
            <v>426</v>
          </cell>
          <cell r="Q34">
            <v>392</v>
          </cell>
          <cell r="R34">
            <v>333</v>
          </cell>
          <cell r="S34">
            <v>292</v>
          </cell>
          <cell r="T34">
            <v>250</v>
          </cell>
          <cell r="U34">
            <v>175</v>
          </cell>
          <cell r="V34">
            <v>99</v>
          </cell>
          <cell r="W34">
            <v>426</v>
          </cell>
          <cell r="X34">
            <v>392</v>
          </cell>
          <cell r="Y34">
            <v>333</v>
          </cell>
          <cell r="Z34">
            <v>292</v>
          </cell>
          <cell r="AA34">
            <v>250</v>
          </cell>
          <cell r="AB34">
            <v>175</v>
          </cell>
          <cell r="AC34">
            <v>99</v>
          </cell>
        </row>
        <row r="35">
          <cell r="A35" t="str">
            <v>8-14-20</v>
          </cell>
          <cell r="B35">
            <v>506</v>
          </cell>
          <cell r="C35">
            <v>458</v>
          </cell>
          <cell r="D35">
            <v>384</v>
          </cell>
          <cell r="E35">
            <v>331</v>
          </cell>
          <cell r="F35">
            <v>278</v>
          </cell>
          <cell r="G35">
            <v>190</v>
          </cell>
          <cell r="H35">
            <v>102</v>
          </cell>
          <cell r="I35">
            <v>506</v>
          </cell>
          <cell r="J35">
            <v>458</v>
          </cell>
          <cell r="K35">
            <v>384</v>
          </cell>
          <cell r="L35">
            <v>331</v>
          </cell>
          <cell r="M35">
            <v>278</v>
          </cell>
          <cell r="N35">
            <v>190</v>
          </cell>
          <cell r="O35">
            <v>102</v>
          </cell>
          <cell r="P35">
            <v>379</v>
          </cell>
          <cell r="Q35">
            <v>351</v>
          </cell>
          <cell r="R35">
            <v>300</v>
          </cell>
          <cell r="S35">
            <v>263</v>
          </cell>
          <cell r="T35">
            <v>226</v>
          </cell>
          <cell r="U35">
            <v>158</v>
          </cell>
          <cell r="V35">
            <v>89</v>
          </cell>
          <cell r="W35">
            <v>379</v>
          </cell>
          <cell r="X35">
            <v>351</v>
          </cell>
          <cell r="Y35">
            <v>300</v>
          </cell>
          <cell r="Z35">
            <v>263</v>
          </cell>
          <cell r="AA35">
            <v>226</v>
          </cell>
          <cell r="AB35">
            <v>158</v>
          </cell>
          <cell r="AC35">
            <v>89</v>
          </cell>
        </row>
        <row r="36">
          <cell r="A36" t="str">
            <v>8-15-20</v>
          </cell>
          <cell r="B36">
            <v>437</v>
          </cell>
          <cell r="C36">
            <v>399</v>
          </cell>
          <cell r="D36">
            <v>337</v>
          </cell>
          <cell r="E36">
            <v>292</v>
          </cell>
          <cell r="F36">
            <v>247</v>
          </cell>
          <cell r="G36">
            <v>169</v>
          </cell>
          <cell r="H36">
            <v>91</v>
          </cell>
          <cell r="I36">
            <v>437</v>
          </cell>
          <cell r="J36">
            <v>399</v>
          </cell>
          <cell r="K36">
            <v>337</v>
          </cell>
          <cell r="L36">
            <v>292</v>
          </cell>
          <cell r="M36">
            <v>247</v>
          </cell>
          <cell r="N36">
            <v>169</v>
          </cell>
          <cell r="O36">
            <v>91</v>
          </cell>
          <cell r="P36">
            <v>328</v>
          </cell>
          <cell r="Q36">
            <v>305</v>
          </cell>
          <cell r="R36">
            <v>264</v>
          </cell>
          <cell r="S36">
            <v>233</v>
          </cell>
          <cell r="T36">
            <v>201</v>
          </cell>
          <cell r="U36">
            <v>140</v>
          </cell>
          <cell r="V36">
            <v>79</v>
          </cell>
          <cell r="W36">
            <v>328</v>
          </cell>
          <cell r="X36">
            <v>305</v>
          </cell>
          <cell r="Y36">
            <v>264</v>
          </cell>
          <cell r="Z36">
            <v>233</v>
          </cell>
          <cell r="AA36">
            <v>201</v>
          </cell>
          <cell r="AB36">
            <v>140</v>
          </cell>
          <cell r="AC36">
            <v>79</v>
          </cell>
        </row>
        <row r="37">
          <cell r="A37" t="str">
            <v>9-11-20</v>
          </cell>
          <cell r="B37">
            <v>677</v>
          </cell>
          <cell r="C37">
            <v>603</v>
          </cell>
          <cell r="D37">
            <v>495</v>
          </cell>
          <cell r="E37">
            <v>421</v>
          </cell>
          <cell r="F37">
            <v>346</v>
          </cell>
          <cell r="G37">
            <v>236</v>
          </cell>
          <cell r="H37">
            <v>126</v>
          </cell>
          <cell r="I37">
            <v>677</v>
          </cell>
          <cell r="J37">
            <v>603</v>
          </cell>
          <cell r="K37">
            <v>495</v>
          </cell>
          <cell r="L37">
            <v>421</v>
          </cell>
          <cell r="M37">
            <v>346</v>
          </cell>
          <cell r="N37">
            <v>236</v>
          </cell>
          <cell r="O37">
            <v>126</v>
          </cell>
          <cell r="P37">
            <v>508</v>
          </cell>
          <cell r="Q37">
            <v>461</v>
          </cell>
          <cell r="R37">
            <v>388</v>
          </cell>
          <cell r="S37">
            <v>335</v>
          </cell>
          <cell r="T37">
            <v>281</v>
          </cell>
          <cell r="U37">
            <v>196</v>
          </cell>
          <cell r="V37">
            <v>110</v>
          </cell>
          <cell r="W37">
            <v>508</v>
          </cell>
          <cell r="X37">
            <v>461</v>
          </cell>
          <cell r="Y37">
            <v>388</v>
          </cell>
          <cell r="Z37">
            <v>335</v>
          </cell>
          <cell r="AA37">
            <v>281</v>
          </cell>
          <cell r="AB37">
            <v>196</v>
          </cell>
          <cell r="AC37">
            <v>110</v>
          </cell>
        </row>
        <row r="38">
          <cell r="A38" t="str">
            <v>9-12-20</v>
          </cell>
          <cell r="B38">
            <v>619</v>
          </cell>
          <cell r="C38">
            <v>555</v>
          </cell>
          <cell r="D38">
            <v>459</v>
          </cell>
          <cell r="E38">
            <v>393</v>
          </cell>
          <cell r="F38">
            <v>327</v>
          </cell>
          <cell r="G38">
            <v>224</v>
          </cell>
          <cell r="H38">
            <v>121</v>
          </cell>
          <cell r="I38">
            <v>619</v>
          </cell>
          <cell r="J38">
            <v>555</v>
          </cell>
          <cell r="K38">
            <v>459</v>
          </cell>
          <cell r="L38">
            <v>393</v>
          </cell>
          <cell r="M38">
            <v>327</v>
          </cell>
          <cell r="N38">
            <v>224</v>
          </cell>
          <cell r="O38">
            <v>121</v>
          </cell>
          <cell r="P38">
            <v>464</v>
          </cell>
          <cell r="Q38">
            <v>425</v>
          </cell>
          <cell r="R38">
            <v>359</v>
          </cell>
          <cell r="S38">
            <v>313</v>
          </cell>
          <cell r="T38">
            <v>266</v>
          </cell>
          <cell r="U38">
            <v>186</v>
          </cell>
          <cell r="V38">
            <v>105</v>
          </cell>
          <cell r="W38">
            <v>464</v>
          </cell>
          <cell r="X38">
            <v>425</v>
          </cell>
          <cell r="Y38">
            <v>359</v>
          </cell>
          <cell r="Z38">
            <v>313</v>
          </cell>
          <cell r="AA38">
            <v>266</v>
          </cell>
          <cell r="AB38">
            <v>186</v>
          </cell>
          <cell r="AC38">
            <v>105</v>
          </cell>
        </row>
        <row r="39">
          <cell r="A39" t="str">
            <v>9-13-20</v>
          </cell>
          <cell r="B39">
            <v>561</v>
          </cell>
          <cell r="C39">
            <v>505</v>
          </cell>
          <cell r="D39">
            <v>420</v>
          </cell>
          <cell r="E39">
            <v>361</v>
          </cell>
          <cell r="F39">
            <v>302</v>
          </cell>
          <cell r="G39">
            <v>207</v>
          </cell>
          <cell r="H39">
            <v>111</v>
          </cell>
          <cell r="I39">
            <v>561</v>
          </cell>
          <cell r="J39">
            <v>505</v>
          </cell>
          <cell r="K39">
            <v>420</v>
          </cell>
          <cell r="L39">
            <v>361</v>
          </cell>
          <cell r="M39">
            <v>302</v>
          </cell>
          <cell r="N39">
            <v>207</v>
          </cell>
          <cell r="O39">
            <v>111</v>
          </cell>
          <cell r="P39">
            <v>421</v>
          </cell>
          <cell r="Q39">
            <v>386</v>
          </cell>
          <cell r="R39">
            <v>329</v>
          </cell>
          <cell r="S39">
            <v>287</v>
          </cell>
          <cell r="T39">
            <v>245</v>
          </cell>
          <cell r="U39">
            <v>171</v>
          </cell>
          <cell r="V39">
            <v>97</v>
          </cell>
          <cell r="W39">
            <v>421</v>
          </cell>
          <cell r="X39">
            <v>386</v>
          </cell>
          <cell r="Y39">
            <v>329</v>
          </cell>
          <cell r="Z39">
            <v>287</v>
          </cell>
          <cell r="AA39">
            <v>245</v>
          </cell>
          <cell r="AB39">
            <v>171</v>
          </cell>
          <cell r="AC39">
            <v>97</v>
          </cell>
        </row>
        <row r="40">
          <cell r="A40" t="str">
            <v>9-14-20</v>
          </cell>
          <cell r="B40">
            <v>501</v>
          </cell>
          <cell r="C40">
            <v>454</v>
          </cell>
          <cell r="D40">
            <v>380</v>
          </cell>
          <cell r="E40">
            <v>328</v>
          </cell>
          <cell r="F40">
            <v>276</v>
          </cell>
          <cell r="G40">
            <v>189</v>
          </cell>
          <cell r="H40">
            <v>102</v>
          </cell>
          <cell r="I40">
            <v>501</v>
          </cell>
          <cell r="J40">
            <v>454</v>
          </cell>
          <cell r="K40">
            <v>380</v>
          </cell>
          <cell r="L40">
            <v>328</v>
          </cell>
          <cell r="M40">
            <v>276</v>
          </cell>
          <cell r="N40">
            <v>189</v>
          </cell>
          <cell r="O40">
            <v>102</v>
          </cell>
          <cell r="P40">
            <v>375</v>
          </cell>
          <cell r="Q40">
            <v>347</v>
          </cell>
          <cell r="R40">
            <v>297</v>
          </cell>
          <cell r="S40">
            <v>261</v>
          </cell>
          <cell r="T40">
            <v>224</v>
          </cell>
          <cell r="U40">
            <v>157</v>
          </cell>
          <cell r="V40">
            <v>89</v>
          </cell>
          <cell r="W40">
            <v>375</v>
          </cell>
          <cell r="X40">
            <v>347</v>
          </cell>
          <cell r="Y40">
            <v>297</v>
          </cell>
          <cell r="Z40">
            <v>261</v>
          </cell>
          <cell r="AA40">
            <v>224</v>
          </cell>
          <cell r="AB40">
            <v>157</v>
          </cell>
          <cell r="AC40">
            <v>89</v>
          </cell>
        </row>
        <row r="41">
          <cell r="A41" t="str">
            <v>9-15-20</v>
          </cell>
          <cell r="B41">
            <v>435</v>
          </cell>
          <cell r="C41">
            <v>395</v>
          </cell>
          <cell r="D41">
            <v>333</v>
          </cell>
          <cell r="E41">
            <v>289</v>
          </cell>
          <cell r="F41">
            <v>244</v>
          </cell>
          <cell r="G41">
            <v>168</v>
          </cell>
          <cell r="H41">
            <v>91</v>
          </cell>
          <cell r="I41">
            <v>435</v>
          </cell>
          <cell r="J41">
            <v>395</v>
          </cell>
          <cell r="K41">
            <v>333</v>
          </cell>
          <cell r="L41">
            <v>289</v>
          </cell>
          <cell r="M41">
            <v>244</v>
          </cell>
          <cell r="N41">
            <v>168</v>
          </cell>
          <cell r="O41">
            <v>91</v>
          </cell>
          <cell r="P41">
            <v>326</v>
          </cell>
          <cell r="Q41">
            <v>302</v>
          </cell>
          <cell r="R41">
            <v>261</v>
          </cell>
          <cell r="S41">
            <v>230</v>
          </cell>
          <cell r="T41">
            <v>199</v>
          </cell>
          <cell r="U41">
            <v>139</v>
          </cell>
          <cell r="V41">
            <v>79</v>
          </cell>
          <cell r="W41">
            <v>326</v>
          </cell>
          <cell r="X41">
            <v>302</v>
          </cell>
          <cell r="Y41">
            <v>261</v>
          </cell>
          <cell r="Z41">
            <v>230</v>
          </cell>
          <cell r="AA41">
            <v>199</v>
          </cell>
          <cell r="AB41">
            <v>139</v>
          </cell>
          <cell r="AC41">
            <v>79</v>
          </cell>
        </row>
        <row r="42">
          <cell r="A42" t="str">
            <v>10-12-20</v>
          </cell>
          <cell r="B42">
            <v>612</v>
          </cell>
          <cell r="C42">
            <v>547</v>
          </cell>
          <cell r="D42">
            <v>451</v>
          </cell>
          <cell r="E42">
            <v>387</v>
          </cell>
          <cell r="F42">
            <v>322</v>
          </cell>
          <cell r="G42">
            <v>220</v>
          </cell>
          <cell r="H42">
            <v>118</v>
          </cell>
          <cell r="I42">
            <v>612</v>
          </cell>
          <cell r="J42">
            <v>547</v>
          </cell>
          <cell r="K42">
            <v>451</v>
          </cell>
          <cell r="L42">
            <v>387</v>
          </cell>
          <cell r="M42">
            <v>322</v>
          </cell>
          <cell r="N42">
            <v>220</v>
          </cell>
          <cell r="O42">
            <v>118</v>
          </cell>
          <cell r="P42">
            <v>459</v>
          </cell>
          <cell r="Q42">
            <v>419</v>
          </cell>
          <cell r="R42">
            <v>353</v>
          </cell>
          <cell r="S42">
            <v>308</v>
          </cell>
          <cell r="T42">
            <v>262</v>
          </cell>
          <cell r="U42">
            <v>183</v>
          </cell>
          <cell r="V42">
            <v>103</v>
          </cell>
          <cell r="W42">
            <v>459</v>
          </cell>
          <cell r="X42">
            <v>419</v>
          </cell>
          <cell r="Y42">
            <v>353</v>
          </cell>
          <cell r="Z42">
            <v>308</v>
          </cell>
          <cell r="AA42">
            <v>262</v>
          </cell>
          <cell r="AB42">
            <v>183</v>
          </cell>
          <cell r="AC42">
            <v>103</v>
          </cell>
        </row>
        <row r="43">
          <cell r="A43" t="str">
            <v>10-13-20</v>
          </cell>
          <cell r="B43">
            <v>552</v>
          </cell>
          <cell r="C43">
            <v>497</v>
          </cell>
          <cell r="D43">
            <v>412</v>
          </cell>
          <cell r="E43">
            <v>355</v>
          </cell>
          <cell r="F43">
            <v>297</v>
          </cell>
          <cell r="G43">
            <v>204</v>
          </cell>
          <cell r="H43">
            <v>110</v>
          </cell>
          <cell r="I43">
            <v>552</v>
          </cell>
          <cell r="J43">
            <v>497</v>
          </cell>
          <cell r="K43">
            <v>412</v>
          </cell>
          <cell r="L43">
            <v>355</v>
          </cell>
          <cell r="M43">
            <v>297</v>
          </cell>
          <cell r="N43">
            <v>204</v>
          </cell>
          <cell r="O43">
            <v>110</v>
          </cell>
          <cell r="P43">
            <v>414</v>
          </cell>
          <cell r="Q43">
            <v>380</v>
          </cell>
          <cell r="R43">
            <v>323</v>
          </cell>
          <cell r="S43">
            <v>282</v>
          </cell>
          <cell r="T43">
            <v>241</v>
          </cell>
          <cell r="U43">
            <v>169</v>
          </cell>
          <cell r="V43">
            <v>96</v>
          </cell>
          <cell r="W43">
            <v>414</v>
          </cell>
          <cell r="X43">
            <v>380</v>
          </cell>
          <cell r="Y43">
            <v>323</v>
          </cell>
          <cell r="Z43">
            <v>282</v>
          </cell>
          <cell r="AA43">
            <v>241</v>
          </cell>
          <cell r="AB43">
            <v>169</v>
          </cell>
          <cell r="AC43">
            <v>96</v>
          </cell>
        </row>
        <row r="44">
          <cell r="A44" t="str">
            <v>10-14-20</v>
          </cell>
          <cell r="B44">
            <v>493</v>
          </cell>
          <cell r="C44">
            <v>446</v>
          </cell>
          <cell r="D44">
            <v>374</v>
          </cell>
          <cell r="E44">
            <v>323</v>
          </cell>
          <cell r="F44">
            <v>271</v>
          </cell>
          <cell r="G44">
            <v>187</v>
          </cell>
          <cell r="H44">
            <v>102</v>
          </cell>
          <cell r="I44">
            <v>493</v>
          </cell>
          <cell r="J44">
            <v>446</v>
          </cell>
          <cell r="K44">
            <v>374</v>
          </cell>
          <cell r="L44">
            <v>323</v>
          </cell>
          <cell r="M44">
            <v>271</v>
          </cell>
          <cell r="N44">
            <v>187</v>
          </cell>
          <cell r="O44">
            <v>102</v>
          </cell>
          <cell r="P44">
            <v>370</v>
          </cell>
          <cell r="Q44">
            <v>341</v>
          </cell>
          <cell r="R44">
            <v>293</v>
          </cell>
          <cell r="S44">
            <v>257</v>
          </cell>
          <cell r="T44">
            <v>220</v>
          </cell>
          <cell r="U44">
            <v>154</v>
          </cell>
          <cell r="V44">
            <v>88</v>
          </cell>
          <cell r="W44">
            <v>370</v>
          </cell>
          <cell r="X44">
            <v>341</v>
          </cell>
          <cell r="Y44">
            <v>293</v>
          </cell>
          <cell r="Z44">
            <v>257</v>
          </cell>
          <cell r="AA44">
            <v>220</v>
          </cell>
          <cell r="AB44">
            <v>154</v>
          </cell>
          <cell r="AC44">
            <v>88</v>
          </cell>
        </row>
        <row r="45">
          <cell r="A45" t="str">
            <v>10-15-20</v>
          </cell>
          <cell r="B45">
            <v>429</v>
          </cell>
          <cell r="C45">
            <v>391</v>
          </cell>
          <cell r="D45">
            <v>330</v>
          </cell>
          <cell r="E45">
            <v>286</v>
          </cell>
          <cell r="F45">
            <v>242</v>
          </cell>
          <cell r="G45">
            <v>167</v>
          </cell>
          <cell r="H45">
            <v>91</v>
          </cell>
          <cell r="I45">
            <v>429</v>
          </cell>
          <cell r="J45">
            <v>391</v>
          </cell>
          <cell r="K45">
            <v>330</v>
          </cell>
          <cell r="L45">
            <v>286</v>
          </cell>
          <cell r="M45">
            <v>242</v>
          </cell>
          <cell r="N45">
            <v>167</v>
          </cell>
          <cell r="O45">
            <v>91</v>
          </cell>
          <cell r="P45">
            <v>322</v>
          </cell>
          <cell r="Q45">
            <v>299</v>
          </cell>
          <cell r="R45">
            <v>258</v>
          </cell>
          <cell r="S45">
            <v>228</v>
          </cell>
          <cell r="T45">
            <v>197</v>
          </cell>
          <cell r="U45">
            <v>138</v>
          </cell>
          <cell r="V45">
            <v>79</v>
          </cell>
          <cell r="W45">
            <v>322</v>
          </cell>
          <cell r="X45">
            <v>299</v>
          </cell>
          <cell r="Y45">
            <v>258</v>
          </cell>
          <cell r="Z45">
            <v>228</v>
          </cell>
          <cell r="AA45">
            <v>197</v>
          </cell>
          <cell r="AB45">
            <v>138</v>
          </cell>
          <cell r="AC45">
            <v>79</v>
          </cell>
        </row>
        <row r="46">
          <cell r="A46" t="str">
            <v>11-13-20</v>
          </cell>
          <cell r="B46">
            <v>545</v>
          </cell>
          <cell r="C46">
            <v>489</v>
          </cell>
          <cell r="D46">
            <v>405</v>
          </cell>
          <cell r="E46">
            <v>348</v>
          </cell>
          <cell r="F46">
            <v>291</v>
          </cell>
          <cell r="G46">
            <v>199</v>
          </cell>
          <cell r="H46">
            <v>107</v>
          </cell>
          <cell r="I46">
            <v>545</v>
          </cell>
          <cell r="J46">
            <v>489</v>
          </cell>
          <cell r="K46">
            <v>405</v>
          </cell>
          <cell r="L46">
            <v>348</v>
          </cell>
          <cell r="M46">
            <v>291</v>
          </cell>
          <cell r="N46">
            <v>199</v>
          </cell>
          <cell r="O46">
            <v>107</v>
          </cell>
          <cell r="P46">
            <v>408</v>
          </cell>
          <cell r="Q46">
            <v>374</v>
          </cell>
          <cell r="R46">
            <v>317</v>
          </cell>
          <cell r="S46">
            <v>277</v>
          </cell>
          <cell r="T46">
            <v>236</v>
          </cell>
          <cell r="U46">
            <v>165</v>
          </cell>
          <cell r="V46">
            <v>94</v>
          </cell>
          <cell r="W46">
            <v>408</v>
          </cell>
          <cell r="X46">
            <v>374</v>
          </cell>
          <cell r="Y46">
            <v>317</v>
          </cell>
          <cell r="Z46">
            <v>277</v>
          </cell>
          <cell r="AA46">
            <v>236</v>
          </cell>
          <cell r="AB46">
            <v>165</v>
          </cell>
          <cell r="AC46">
            <v>94</v>
          </cell>
        </row>
        <row r="47">
          <cell r="A47" t="str">
            <v>11-14-20</v>
          </cell>
          <cell r="B47">
            <v>484</v>
          </cell>
          <cell r="C47">
            <v>437</v>
          </cell>
          <cell r="D47">
            <v>366</v>
          </cell>
          <cell r="E47">
            <v>316</v>
          </cell>
          <cell r="F47">
            <v>266</v>
          </cell>
          <cell r="G47">
            <v>183</v>
          </cell>
          <cell r="H47">
            <v>99</v>
          </cell>
          <cell r="I47">
            <v>484</v>
          </cell>
          <cell r="J47">
            <v>437</v>
          </cell>
          <cell r="K47">
            <v>366</v>
          </cell>
          <cell r="L47">
            <v>316</v>
          </cell>
          <cell r="M47">
            <v>266</v>
          </cell>
          <cell r="N47">
            <v>183</v>
          </cell>
          <cell r="O47">
            <v>99</v>
          </cell>
          <cell r="P47">
            <v>363</v>
          </cell>
          <cell r="Q47">
            <v>335</v>
          </cell>
          <cell r="R47">
            <v>287</v>
          </cell>
          <cell r="S47">
            <v>252</v>
          </cell>
          <cell r="T47">
            <v>216</v>
          </cell>
          <cell r="U47">
            <v>151</v>
          </cell>
          <cell r="V47">
            <v>86</v>
          </cell>
          <cell r="W47">
            <v>363</v>
          </cell>
          <cell r="X47">
            <v>335</v>
          </cell>
          <cell r="Y47">
            <v>287</v>
          </cell>
          <cell r="Z47">
            <v>252</v>
          </cell>
          <cell r="AA47">
            <v>216</v>
          </cell>
          <cell r="AB47">
            <v>151</v>
          </cell>
          <cell r="AC47">
            <v>86</v>
          </cell>
        </row>
        <row r="48">
          <cell r="A48" t="str">
            <v>11-15-20</v>
          </cell>
          <cell r="B48">
            <v>423</v>
          </cell>
          <cell r="C48">
            <v>385</v>
          </cell>
          <cell r="D48">
            <v>325</v>
          </cell>
          <cell r="E48">
            <v>282</v>
          </cell>
          <cell r="F48">
            <v>238</v>
          </cell>
          <cell r="G48">
            <v>164</v>
          </cell>
          <cell r="H48">
            <v>90</v>
          </cell>
          <cell r="I48">
            <v>423</v>
          </cell>
          <cell r="J48">
            <v>385</v>
          </cell>
          <cell r="K48">
            <v>325</v>
          </cell>
          <cell r="L48">
            <v>282</v>
          </cell>
          <cell r="M48">
            <v>238</v>
          </cell>
          <cell r="N48">
            <v>164</v>
          </cell>
          <cell r="O48">
            <v>90</v>
          </cell>
          <cell r="P48">
            <v>317</v>
          </cell>
          <cell r="Q48">
            <v>295</v>
          </cell>
          <cell r="R48">
            <v>254</v>
          </cell>
          <cell r="S48">
            <v>224</v>
          </cell>
          <cell r="T48">
            <v>194</v>
          </cell>
          <cell r="U48">
            <v>136</v>
          </cell>
          <cell r="V48">
            <v>78</v>
          </cell>
          <cell r="W48">
            <v>317</v>
          </cell>
          <cell r="X48">
            <v>295</v>
          </cell>
          <cell r="Y48">
            <v>254</v>
          </cell>
          <cell r="Z48">
            <v>224</v>
          </cell>
          <cell r="AA48">
            <v>194</v>
          </cell>
          <cell r="AB48">
            <v>136</v>
          </cell>
          <cell r="AC48">
            <v>78</v>
          </cell>
        </row>
        <row r="49">
          <cell r="A49" t="str">
            <v>12-14-20</v>
          </cell>
          <cell r="B49">
            <v>476</v>
          </cell>
          <cell r="C49">
            <v>429</v>
          </cell>
          <cell r="D49">
            <v>358</v>
          </cell>
          <cell r="E49">
            <v>309</v>
          </cell>
          <cell r="F49">
            <v>260</v>
          </cell>
          <cell r="G49">
            <v>179</v>
          </cell>
          <cell r="H49">
            <v>97</v>
          </cell>
          <cell r="I49">
            <v>476</v>
          </cell>
          <cell r="J49">
            <v>429</v>
          </cell>
          <cell r="K49">
            <v>358</v>
          </cell>
          <cell r="L49">
            <v>309</v>
          </cell>
          <cell r="M49">
            <v>260</v>
          </cell>
          <cell r="N49">
            <v>179</v>
          </cell>
          <cell r="O49">
            <v>97</v>
          </cell>
          <cell r="P49">
            <v>357</v>
          </cell>
          <cell r="Q49">
            <v>328</v>
          </cell>
          <cell r="R49">
            <v>280</v>
          </cell>
          <cell r="S49">
            <v>246</v>
          </cell>
          <cell r="T49">
            <v>211</v>
          </cell>
          <cell r="U49">
            <v>148</v>
          </cell>
          <cell r="V49">
            <v>84</v>
          </cell>
          <cell r="W49">
            <v>357</v>
          </cell>
          <cell r="X49">
            <v>328</v>
          </cell>
          <cell r="Y49">
            <v>280</v>
          </cell>
          <cell r="Z49">
            <v>246</v>
          </cell>
          <cell r="AA49">
            <v>211</v>
          </cell>
          <cell r="AB49">
            <v>148</v>
          </cell>
          <cell r="AC49">
            <v>84</v>
          </cell>
        </row>
        <row r="50">
          <cell r="A50" t="str">
            <v>12-15-20</v>
          </cell>
          <cell r="B50">
            <v>415</v>
          </cell>
          <cell r="C50">
            <v>376</v>
          </cell>
          <cell r="D50">
            <v>316</v>
          </cell>
          <cell r="E50">
            <v>274</v>
          </cell>
          <cell r="F50">
            <v>232</v>
          </cell>
          <cell r="G50">
            <v>160</v>
          </cell>
          <cell r="H50">
            <v>87</v>
          </cell>
          <cell r="I50">
            <v>415</v>
          </cell>
          <cell r="J50">
            <v>376</v>
          </cell>
          <cell r="K50">
            <v>316</v>
          </cell>
          <cell r="L50">
            <v>274</v>
          </cell>
          <cell r="M50">
            <v>232</v>
          </cell>
          <cell r="N50">
            <v>160</v>
          </cell>
          <cell r="O50">
            <v>87</v>
          </cell>
          <cell r="P50">
            <v>311</v>
          </cell>
          <cell r="Q50">
            <v>288</v>
          </cell>
          <cell r="R50">
            <v>248</v>
          </cell>
          <cell r="S50">
            <v>218</v>
          </cell>
          <cell r="T50">
            <v>188</v>
          </cell>
          <cell r="U50">
            <v>132</v>
          </cell>
          <cell r="V50">
            <v>76</v>
          </cell>
          <cell r="W50">
            <v>311</v>
          </cell>
          <cell r="X50">
            <v>288</v>
          </cell>
          <cell r="Y50">
            <v>248</v>
          </cell>
          <cell r="Z50">
            <v>218</v>
          </cell>
          <cell r="AA50">
            <v>188</v>
          </cell>
          <cell r="AB50">
            <v>132</v>
          </cell>
          <cell r="AC50">
            <v>76</v>
          </cell>
        </row>
        <row r="51">
          <cell r="A51" t="str">
            <v>13-15-20</v>
          </cell>
          <cell r="B51">
            <v>405</v>
          </cell>
          <cell r="C51">
            <v>367</v>
          </cell>
          <cell r="D51">
            <v>308</v>
          </cell>
          <cell r="E51">
            <v>267</v>
          </cell>
          <cell r="F51">
            <v>226</v>
          </cell>
          <cell r="G51">
            <v>156</v>
          </cell>
          <cell r="H51">
            <v>85</v>
          </cell>
          <cell r="I51">
            <v>405</v>
          </cell>
          <cell r="J51">
            <v>367</v>
          </cell>
          <cell r="K51">
            <v>308</v>
          </cell>
          <cell r="L51">
            <v>267</v>
          </cell>
          <cell r="M51">
            <v>226</v>
          </cell>
          <cell r="N51">
            <v>156</v>
          </cell>
          <cell r="O51">
            <v>85</v>
          </cell>
          <cell r="P51">
            <v>303</v>
          </cell>
          <cell r="Q51">
            <v>281</v>
          </cell>
          <cell r="R51">
            <v>241</v>
          </cell>
          <cell r="S51">
            <v>212</v>
          </cell>
          <cell r="T51">
            <v>183</v>
          </cell>
          <cell r="U51">
            <v>129</v>
          </cell>
          <cell r="V51">
            <v>74</v>
          </cell>
          <cell r="W51">
            <v>303</v>
          </cell>
          <cell r="X51">
            <v>281</v>
          </cell>
          <cell r="Y51">
            <v>241</v>
          </cell>
          <cell r="Z51">
            <v>212</v>
          </cell>
          <cell r="AA51">
            <v>183</v>
          </cell>
          <cell r="AB51">
            <v>129</v>
          </cell>
          <cell r="AC51">
            <v>74</v>
          </cell>
        </row>
        <row r="52">
          <cell r="A52" t="str">
            <v>14-16-20</v>
          </cell>
          <cell r="B52">
            <v>337</v>
          </cell>
          <cell r="C52">
            <v>303</v>
          </cell>
          <cell r="D52">
            <v>257</v>
          </cell>
          <cell r="E52">
            <v>223</v>
          </cell>
          <cell r="F52">
            <v>189</v>
          </cell>
          <cell r="G52">
            <v>131</v>
          </cell>
          <cell r="H52">
            <v>73</v>
          </cell>
          <cell r="I52">
            <v>337</v>
          </cell>
          <cell r="J52">
            <v>303</v>
          </cell>
          <cell r="K52">
            <v>257</v>
          </cell>
          <cell r="L52">
            <v>223</v>
          </cell>
          <cell r="M52">
            <v>189</v>
          </cell>
          <cell r="N52">
            <v>131</v>
          </cell>
          <cell r="O52">
            <v>73</v>
          </cell>
          <cell r="P52">
            <v>253</v>
          </cell>
          <cell r="Q52">
            <v>232</v>
          </cell>
          <cell r="R52">
            <v>201</v>
          </cell>
          <cell r="S52">
            <v>178</v>
          </cell>
          <cell r="T52">
            <v>154</v>
          </cell>
          <cell r="U52">
            <v>109</v>
          </cell>
          <cell r="V52">
            <v>64</v>
          </cell>
          <cell r="W52">
            <v>253</v>
          </cell>
          <cell r="X52">
            <v>232</v>
          </cell>
          <cell r="Y52">
            <v>201</v>
          </cell>
          <cell r="Z52">
            <v>178</v>
          </cell>
          <cell r="AA52">
            <v>154</v>
          </cell>
          <cell r="AB52">
            <v>109</v>
          </cell>
          <cell r="AC52">
            <v>64</v>
          </cell>
        </row>
        <row r="53">
          <cell r="A53" t="str">
            <v>14-17-20</v>
          </cell>
          <cell r="B53">
            <v>268</v>
          </cell>
          <cell r="C53">
            <v>251</v>
          </cell>
          <cell r="D53">
            <v>210</v>
          </cell>
          <cell r="E53">
            <v>184</v>
          </cell>
          <cell r="F53">
            <v>158</v>
          </cell>
          <cell r="G53">
            <v>110</v>
          </cell>
          <cell r="H53">
            <v>62</v>
          </cell>
          <cell r="I53">
            <v>268</v>
          </cell>
          <cell r="J53">
            <v>251</v>
          </cell>
          <cell r="K53">
            <v>210</v>
          </cell>
          <cell r="L53">
            <v>184</v>
          </cell>
          <cell r="M53">
            <v>158</v>
          </cell>
          <cell r="N53">
            <v>110</v>
          </cell>
          <cell r="O53">
            <v>62</v>
          </cell>
          <cell r="P53">
            <v>201</v>
          </cell>
          <cell r="Q53">
            <v>192</v>
          </cell>
          <cell r="R53">
            <v>165</v>
          </cell>
          <cell r="S53">
            <v>147</v>
          </cell>
          <cell r="T53">
            <v>128</v>
          </cell>
          <cell r="U53">
            <v>91</v>
          </cell>
          <cell r="V53">
            <v>54</v>
          </cell>
          <cell r="W53">
            <v>201</v>
          </cell>
          <cell r="X53">
            <v>192</v>
          </cell>
          <cell r="Y53">
            <v>165</v>
          </cell>
          <cell r="Z53">
            <v>147</v>
          </cell>
          <cell r="AA53">
            <v>128</v>
          </cell>
          <cell r="AB53">
            <v>91</v>
          </cell>
          <cell r="AC53">
            <v>54</v>
          </cell>
        </row>
        <row r="54">
          <cell r="A54" t="str">
            <v>14-18-20</v>
          </cell>
          <cell r="B54">
            <v>192</v>
          </cell>
          <cell r="C54">
            <v>180</v>
          </cell>
          <cell r="D54">
            <v>158</v>
          </cell>
          <cell r="E54">
            <v>139</v>
          </cell>
          <cell r="F54">
            <v>119</v>
          </cell>
          <cell r="G54">
            <v>84</v>
          </cell>
          <cell r="H54">
            <v>48</v>
          </cell>
          <cell r="I54">
            <v>192</v>
          </cell>
          <cell r="J54">
            <v>180</v>
          </cell>
          <cell r="K54">
            <v>158</v>
          </cell>
          <cell r="L54">
            <v>139</v>
          </cell>
          <cell r="M54">
            <v>119</v>
          </cell>
          <cell r="N54">
            <v>84</v>
          </cell>
          <cell r="O54">
            <v>48</v>
          </cell>
          <cell r="P54">
            <v>144</v>
          </cell>
          <cell r="Q54">
            <v>138</v>
          </cell>
          <cell r="R54">
            <v>124</v>
          </cell>
          <cell r="S54">
            <v>111</v>
          </cell>
          <cell r="T54">
            <v>97</v>
          </cell>
          <cell r="U54">
            <v>70</v>
          </cell>
          <cell r="V54">
            <v>42</v>
          </cell>
          <cell r="W54">
            <v>144</v>
          </cell>
          <cell r="X54">
            <v>138</v>
          </cell>
          <cell r="Y54">
            <v>124</v>
          </cell>
          <cell r="Z54">
            <v>111</v>
          </cell>
          <cell r="AA54">
            <v>97</v>
          </cell>
          <cell r="AB54">
            <v>70</v>
          </cell>
          <cell r="AC54">
            <v>42</v>
          </cell>
        </row>
        <row r="55">
          <cell r="A55" t="str">
            <v>15-17-20</v>
          </cell>
          <cell r="B55">
            <v>258</v>
          </cell>
          <cell r="C55">
            <v>240</v>
          </cell>
          <cell r="D55">
            <v>202</v>
          </cell>
          <cell r="E55">
            <v>177</v>
          </cell>
          <cell r="F55">
            <v>152</v>
          </cell>
          <cell r="G55">
            <v>106</v>
          </cell>
          <cell r="H55">
            <v>60</v>
          </cell>
          <cell r="I55">
            <v>258</v>
          </cell>
          <cell r="J55">
            <v>240</v>
          </cell>
          <cell r="K55">
            <v>202</v>
          </cell>
          <cell r="L55">
            <v>177</v>
          </cell>
          <cell r="M55">
            <v>152</v>
          </cell>
          <cell r="N55">
            <v>106</v>
          </cell>
          <cell r="O55">
            <v>60</v>
          </cell>
          <cell r="P55">
            <v>194</v>
          </cell>
          <cell r="Q55">
            <v>184</v>
          </cell>
          <cell r="R55">
            <v>158</v>
          </cell>
          <cell r="S55">
            <v>141</v>
          </cell>
          <cell r="T55">
            <v>123</v>
          </cell>
          <cell r="U55">
            <v>88</v>
          </cell>
          <cell r="V55">
            <v>52</v>
          </cell>
          <cell r="W55">
            <v>194</v>
          </cell>
          <cell r="X55">
            <v>184</v>
          </cell>
          <cell r="Y55">
            <v>158</v>
          </cell>
          <cell r="Z55">
            <v>141</v>
          </cell>
          <cell r="AA55">
            <v>123</v>
          </cell>
          <cell r="AB55">
            <v>88</v>
          </cell>
          <cell r="AC55">
            <v>52</v>
          </cell>
        </row>
        <row r="56">
          <cell r="A56" t="str">
            <v>15-18-20</v>
          </cell>
          <cell r="B56">
            <v>187</v>
          </cell>
          <cell r="C56">
            <v>175</v>
          </cell>
          <cell r="D56">
            <v>153</v>
          </cell>
          <cell r="E56">
            <v>137</v>
          </cell>
          <cell r="F56">
            <v>120</v>
          </cell>
          <cell r="G56">
            <v>84</v>
          </cell>
          <cell r="H56">
            <v>47</v>
          </cell>
          <cell r="I56">
            <v>187</v>
          </cell>
          <cell r="J56">
            <v>175</v>
          </cell>
          <cell r="K56">
            <v>153</v>
          </cell>
          <cell r="L56">
            <v>137</v>
          </cell>
          <cell r="M56">
            <v>120</v>
          </cell>
          <cell r="N56">
            <v>84</v>
          </cell>
          <cell r="O56">
            <v>47</v>
          </cell>
          <cell r="P56">
            <v>140</v>
          </cell>
          <cell r="Q56">
            <v>134</v>
          </cell>
          <cell r="R56">
            <v>120</v>
          </cell>
          <cell r="S56">
            <v>109</v>
          </cell>
          <cell r="T56">
            <v>98</v>
          </cell>
          <cell r="U56">
            <v>70</v>
          </cell>
          <cell r="V56">
            <v>41</v>
          </cell>
          <cell r="W56">
            <v>140</v>
          </cell>
          <cell r="X56">
            <v>134</v>
          </cell>
          <cell r="Y56">
            <v>120</v>
          </cell>
          <cell r="Z56">
            <v>109</v>
          </cell>
          <cell r="AA56">
            <v>98</v>
          </cell>
          <cell r="AB56">
            <v>70</v>
          </cell>
          <cell r="AC56">
            <v>41</v>
          </cell>
        </row>
        <row r="57">
          <cell r="A57" t="str">
            <v>16-18-20</v>
          </cell>
          <cell r="B57">
            <v>180</v>
          </cell>
          <cell r="C57">
            <v>167</v>
          </cell>
          <cell r="D57">
            <v>147</v>
          </cell>
          <cell r="E57">
            <v>131</v>
          </cell>
          <cell r="F57">
            <v>115</v>
          </cell>
          <cell r="G57">
            <v>80</v>
          </cell>
          <cell r="H57">
            <v>45</v>
          </cell>
          <cell r="I57">
            <v>180</v>
          </cell>
          <cell r="J57">
            <v>167</v>
          </cell>
          <cell r="K57">
            <v>147</v>
          </cell>
          <cell r="L57">
            <v>131</v>
          </cell>
          <cell r="M57">
            <v>115</v>
          </cell>
          <cell r="N57">
            <v>80</v>
          </cell>
          <cell r="O57">
            <v>45</v>
          </cell>
          <cell r="P57">
            <v>135</v>
          </cell>
          <cell r="Q57">
            <v>128</v>
          </cell>
          <cell r="R57">
            <v>115</v>
          </cell>
          <cell r="S57">
            <v>105</v>
          </cell>
          <cell r="T57">
            <v>94</v>
          </cell>
          <cell r="U57">
            <v>67</v>
          </cell>
          <cell r="V57">
            <v>39</v>
          </cell>
          <cell r="W57">
            <v>135</v>
          </cell>
          <cell r="X57">
            <v>128</v>
          </cell>
          <cell r="Y57">
            <v>115</v>
          </cell>
          <cell r="Z57">
            <v>105</v>
          </cell>
          <cell r="AA57">
            <v>94</v>
          </cell>
          <cell r="AB57">
            <v>67</v>
          </cell>
          <cell r="AC57">
            <v>39</v>
          </cell>
        </row>
        <row r="58">
          <cell r="A58" t="str">
            <v>4-6-21</v>
          </cell>
          <cell r="B58">
            <v>1290</v>
          </cell>
          <cell r="C58">
            <v>1132</v>
          </cell>
          <cell r="D58">
            <v>921</v>
          </cell>
          <cell r="E58">
            <v>785</v>
          </cell>
          <cell r="F58">
            <v>648</v>
          </cell>
          <cell r="G58">
            <v>447</v>
          </cell>
          <cell r="H58">
            <v>246</v>
          </cell>
          <cell r="I58">
            <v>1018</v>
          </cell>
          <cell r="J58">
            <v>883</v>
          </cell>
          <cell r="K58">
            <v>712</v>
          </cell>
          <cell r="L58">
            <v>604</v>
          </cell>
          <cell r="M58">
            <v>496</v>
          </cell>
          <cell r="N58">
            <v>341</v>
          </cell>
          <cell r="O58">
            <v>186</v>
          </cell>
          <cell r="P58">
            <v>967</v>
          </cell>
          <cell r="Q58">
            <v>866</v>
          </cell>
          <cell r="R58">
            <v>721</v>
          </cell>
          <cell r="S58">
            <v>624</v>
          </cell>
          <cell r="T58">
            <v>527</v>
          </cell>
          <cell r="U58">
            <v>371</v>
          </cell>
          <cell r="V58">
            <v>215</v>
          </cell>
          <cell r="W58">
            <v>763</v>
          </cell>
          <cell r="X58">
            <v>676</v>
          </cell>
          <cell r="Y58">
            <v>557</v>
          </cell>
          <cell r="Z58">
            <v>481</v>
          </cell>
          <cell r="AA58">
            <v>404</v>
          </cell>
          <cell r="AB58">
            <v>284</v>
          </cell>
          <cell r="AC58">
            <v>163</v>
          </cell>
        </row>
        <row r="59">
          <cell r="A59" t="str">
            <v>4-7-21</v>
          </cell>
          <cell r="B59">
            <v>1172</v>
          </cell>
          <cell r="C59">
            <v>1033</v>
          </cell>
          <cell r="D59">
            <v>846</v>
          </cell>
          <cell r="E59">
            <v>722</v>
          </cell>
          <cell r="F59">
            <v>598</v>
          </cell>
          <cell r="G59">
            <v>413</v>
          </cell>
          <cell r="H59">
            <v>227</v>
          </cell>
          <cell r="I59">
            <v>964</v>
          </cell>
          <cell r="J59">
            <v>839</v>
          </cell>
          <cell r="K59">
            <v>679</v>
          </cell>
          <cell r="L59">
            <v>577</v>
          </cell>
          <cell r="M59">
            <v>474</v>
          </cell>
          <cell r="N59">
            <v>326</v>
          </cell>
          <cell r="O59">
            <v>177</v>
          </cell>
          <cell r="P59">
            <v>879</v>
          </cell>
          <cell r="Q59">
            <v>791</v>
          </cell>
          <cell r="R59">
            <v>662</v>
          </cell>
          <cell r="S59">
            <v>574</v>
          </cell>
          <cell r="T59">
            <v>486</v>
          </cell>
          <cell r="U59">
            <v>342</v>
          </cell>
          <cell r="V59">
            <v>198</v>
          </cell>
          <cell r="W59">
            <v>723</v>
          </cell>
          <cell r="X59">
            <v>643</v>
          </cell>
          <cell r="Y59">
            <v>532</v>
          </cell>
          <cell r="Z59">
            <v>459</v>
          </cell>
          <cell r="AA59">
            <v>385</v>
          </cell>
          <cell r="AB59">
            <v>270</v>
          </cell>
          <cell r="AC59">
            <v>154</v>
          </cell>
        </row>
        <row r="60">
          <cell r="A60" t="str">
            <v>4-8-21</v>
          </cell>
          <cell r="B60">
            <v>1059</v>
          </cell>
          <cell r="C60">
            <v>931</v>
          </cell>
          <cell r="D60">
            <v>767</v>
          </cell>
          <cell r="E60">
            <v>656</v>
          </cell>
          <cell r="F60">
            <v>545</v>
          </cell>
          <cell r="G60">
            <v>376</v>
          </cell>
          <cell r="H60">
            <v>207</v>
          </cell>
          <cell r="I60">
            <v>919</v>
          </cell>
          <cell r="J60">
            <v>797</v>
          </cell>
          <cell r="K60">
            <v>646</v>
          </cell>
          <cell r="L60">
            <v>549</v>
          </cell>
          <cell r="M60">
            <v>451</v>
          </cell>
          <cell r="N60">
            <v>310</v>
          </cell>
          <cell r="O60">
            <v>168</v>
          </cell>
          <cell r="P60">
            <v>794</v>
          </cell>
          <cell r="Q60">
            <v>712</v>
          </cell>
          <cell r="R60">
            <v>600</v>
          </cell>
          <cell r="S60">
            <v>522</v>
          </cell>
          <cell r="T60">
            <v>443</v>
          </cell>
          <cell r="U60">
            <v>312</v>
          </cell>
          <cell r="V60">
            <v>180</v>
          </cell>
          <cell r="W60">
            <v>689</v>
          </cell>
          <cell r="X60">
            <v>609</v>
          </cell>
          <cell r="Y60">
            <v>506</v>
          </cell>
          <cell r="Z60">
            <v>437</v>
          </cell>
          <cell r="AA60">
            <v>367</v>
          </cell>
          <cell r="AB60">
            <v>257</v>
          </cell>
          <cell r="AC60">
            <v>146</v>
          </cell>
        </row>
        <row r="61">
          <cell r="A61" t="str">
            <v>4-9-21</v>
          </cell>
          <cell r="B61">
            <v>929</v>
          </cell>
          <cell r="C61">
            <v>822</v>
          </cell>
          <cell r="D61">
            <v>682</v>
          </cell>
          <cell r="E61">
            <v>585</v>
          </cell>
          <cell r="F61">
            <v>488</v>
          </cell>
          <cell r="G61">
            <v>337</v>
          </cell>
          <cell r="H61">
            <v>185</v>
          </cell>
          <cell r="I61">
            <v>864</v>
          </cell>
          <cell r="J61">
            <v>750</v>
          </cell>
          <cell r="K61">
            <v>611</v>
          </cell>
          <cell r="L61">
            <v>520</v>
          </cell>
          <cell r="M61">
            <v>429</v>
          </cell>
          <cell r="N61">
            <v>294</v>
          </cell>
          <cell r="O61">
            <v>158</v>
          </cell>
          <cell r="P61">
            <v>696</v>
          </cell>
          <cell r="Q61">
            <v>629</v>
          </cell>
          <cell r="R61">
            <v>534</v>
          </cell>
          <cell r="S61">
            <v>465</v>
          </cell>
          <cell r="T61">
            <v>396</v>
          </cell>
          <cell r="U61">
            <v>279</v>
          </cell>
          <cell r="V61">
            <v>161</v>
          </cell>
          <cell r="W61">
            <v>648</v>
          </cell>
          <cell r="X61">
            <v>574</v>
          </cell>
          <cell r="Y61">
            <v>479</v>
          </cell>
          <cell r="Z61">
            <v>414</v>
          </cell>
          <cell r="AA61">
            <v>348</v>
          </cell>
          <cell r="AB61">
            <v>243</v>
          </cell>
          <cell r="AC61">
            <v>138</v>
          </cell>
        </row>
        <row r="62">
          <cell r="A62" t="str">
            <v>4-10-21</v>
          </cell>
          <cell r="B62">
            <v>827</v>
          </cell>
          <cell r="C62">
            <v>735</v>
          </cell>
          <cell r="D62">
            <v>592</v>
          </cell>
          <cell r="E62">
            <v>505</v>
          </cell>
          <cell r="F62">
            <v>417</v>
          </cell>
          <cell r="G62">
            <v>286</v>
          </cell>
          <cell r="H62">
            <v>154</v>
          </cell>
          <cell r="I62">
            <v>827</v>
          </cell>
          <cell r="J62">
            <v>735</v>
          </cell>
          <cell r="K62">
            <v>592</v>
          </cell>
          <cell r="L62">
            <v>505</v>
          </cell>
          <cell r="M62">
            <v>417</v>
          </cell>
          <cell r="N62">
            <v>286</v>
          </cell>
          <cell r="O62">
            <v>154</v>
          </cell>
          <cell r="P62">
            <v>620</v>
          </cell>
          <cell r="Q62">
            <v>562</v>
          </cell>
          <cell r="R62">
            <v>464</v>
          </cell>
          <cell r="S62">
            <v>402</v>
          </cell>
          <cell r="T62">
            <v>339</v>
          </cell>
          <cell r="U62">
            <v>237</v>
          </cell>
          <cell r="V62">
            <v>134</v>
          </cell>
          <cell r="W62">
            <v>620</v>
          </cell>
          <cell r="X62">
            <v>562</v>
          </cell>
          <cell r="Y62">
            <v>464</v>
          </cell>
          <cell r="Z62">
            <v>402</v>
          </cell>
          <cell r="AA62">
            <v>339</v>
          </cell>
          <cell r="AB62">
            <v>237</v>
          </cell>
          <cell r="AC62">
            <v>134</v>
          </cell>
        </row>
        <row r="63">
          <cell r="A63" t="str">
            <v>4-11-21</v>
          </cell>
          <cell r="B63">
            <v>772</v>
          </cell>
          <cell r="C63">
            <v>688</v>
          </cell>
          <cell r="D63">
            <v>559</v>
          </cell>
          <cell r="E63">
            <v>477</v>
          </cell>
          <cell r="F63">
            <v>394</v>
          </cell>
          <cell r="G63">
            <v>271</v>
          </cell>
          <cell r="H63">
            <v>147</v>
          </cell>
          <cell r="I63">
            <v>772</v>
          </cell>
          <cell r="J63">
            <v>688</v>
          </cell>
          <cell r="K63">
            <v>559</v>
          </cell>
          <cell r="L63">
            <v>477</v>
          </cell>
          <cell r="M63">
            <v>394</v>
          </cell>
          <cell r="N63">
            <v>271</v>
          </cell>
          <cell r="O63">
            <v>147</v>
          </cell>
          <cell r="P63">
            <v>578</v>
          </cell>
          <cell r="Q63">
            <v>527</v>
          </cell>
          <cell r="R63">
            <v>437</v>
          </cell>
          <cell r="S63">
            <v>379</v>
          </cell>
          <cell r="T63">
            <v>320</v>
          </cell>
          <cell r="U63">
            <v>224</v>
          </cell>
          <cell r="V63">
            <v>128</v>
          </cell>
          <cell r="W63">
            <v>578</v>
          </cell>
          <cell r="X63">
            <v>527</v>
          </cell>
          <cell r="Y63">
            <v>437</v>
          </cell>
          <cell r="Z63">
            <v>379</v>
          </cell>
          <cell r="AA63">
            <v>320</v>
          </cell>
          <cell r="AB63">
            <v>224</v>
          </cell>
          <cell r="AC63">
            <v>128</v>
          </cell>
        </row>
        <row r="64">
          <cell r="A64" t="str">
            <v>4-12-21</v>
          </cell>
          <cell r="B64">
            <v>713</v>
          </cell>
          <cell r="C64">
            <v>640</v>
          </cell>
          <cell r="D64">
            <v>527</v>
          </cell>
          <cell r="E64">
            <v>451</v>
          </cell>
          <cell r="F64">
            <v>374</v>
          </cell>
          <cell r="G64">
            <v>256</v>
          </cell>
          <cell r="H64">
            <v>137</v>
          </cell>
          <cell r="I64">
            <v>713</v>
          </cell>
          <cell r="J64">
            <v>640</v>
          </cell>
          <cell r="K64">
            <v>527</v>
          </cell>
          <cell r="L64">
            <v>451</v>
          </cell>
          <cell r="M64">
            <v>374</v>
          </cell>
          <cell r="N64">
            <v>256</v>
          </cell>
          <cell r="O64">
            <v>137</v>
          </cell>
          <cell r="P64">
            <v>535</v>
          </cell>
          <cell r="Q64">
            <v>489</v>
          </cell>
          <cell r="R64">
            <v>413</v>
          </cell>
          <cell r="S64">
            <v>359</v>
          </cell>
          <cell r="T64">
            <v>304</v>
          </cell>
          <cell r="U64">
            <v>212</v>
          </cell>
          <cell r="V64">
            <v>119</v>
          </cell>
          <cell r="W64">
            <v>535</v>
          </cell>
          <cell r="X64">
            <v>489</v>
          </cell>
          <cell r="Y64">
            <v>413</v>
          </cell>
          <cell r="Z64">
            <v>359</v>
          </cell>
          <cell r="AA64">
            <v>304</v>
          </cell>
          <cell r="AB64">
            <v>212</v>
          </cell>
          <cell r="AC64">
            <v>119</v>
          </cell>
        </row>
        <row r="65">
          <cell r="A65" t="str">
            <v>5-7-21</v>
          </cell>
          <cell r="B65">
            <v>1169</v>
          </cell>
          <cell r="C65">
            <v>1028</v>
          </cell>
          <cell r="D65">
            <v>840</v>
          </cell>
          <cell r="E65">
            <v>717</v>
          </cell>
          <cell r="F65">
            <v>593</v>
          </cell>
          <cell r="G65">
            <v>409</v>
          </cell>
          <cell r="H65">
            <v>224</v>
          </cell>
          <cell r="I65">
            <v>963</v>
          </cell>
          <cell r="J65">
            <v>838</v>
          </cell>
          <cell r="K65">
            <v>677</v>
          </cell>
          <cell r="L65">
            <v>574</v>
          </cell>
          <cell r="M65">
            <v>471</v>
          </cell>
          <cell r="N65">
            <v>324</v>
          </cell>
          <cell r="O65">
            <v>176</v>
          </cell>
          <cell r="P65">
            <v>876</v>
          </cell>
          <cell r="Q65">
            <v>787</v>
          </cell>
          <cell r="R65">
            <v>657</v>
          </cell>
          <cell r="S65">
            <v>570</v>
          </cell>
          <cell r="T65">
            <v>482</v>
          </cell>
          <cell r="U65">
            <v>339</v>
          </cell>
          <cell r="V65">
            <v>195</v>
          </cell>
          <cell r="W65">
            <v>722</v>
          </cell>
          <cell r="X65">
            <v>641</v>
          </cell>
          <cell r="Y65">
            <v>529</v>
          </cell>
          <cell r="Z65">
            <v>456</v>
          </cell>
          <cell r="AA65">
            <v>383</v>
          </cell>
          <cell r="AB65">
            <v>268</v>
          </cell>
          <cell r="AC65">
            <v>153</v>
          </cell>
        </row>
        <row r="66">
          <cell r="A66" t="str">
            <v>5-8-21</v>
          </cell>
          <cell r="B66">
            <v>1053</v>
          </cell>
          <cell r="C66">
            <v>926</v>
          </cell>
          <cell r="D66">
            <v>761</v>
          </cell>
          <cell r="E66">
            <v>651</v>
          </cell>
          <cell r="F66">
            <v>540</v>
          </cell>
          <cell r="G66">
            <v>373</v>
          </cell>
          <cell r="H66">
            <v>205</v>
          </cell>
          <cell r="I66">
            <v>916</v>
          </cell>
          <cell r="J66">
            <v>795</v>
          </cell>
          <cell r="K66">
            <v>644</v>
          </cell>
          <cell r="L66">
            <v>547</v>
          </cell>
          <cell r="M66">
            <v>449</v>
          </cell>
          <cell r="N66">
            <v>309</v>
          </cell>
          <cell r="O66">
            <v>168</v>
          </cell>
          <cell r="P66">
            <v>790</v>
          </cell>
          <cell r="Q66">
            <v>708</v>
          </cell>
          <cell r="R66">
            <v>596</v>
          </cell>
          <cell r="S66">
            <v>518</v>
          </cell>
          <cell r="T66">
            <v>439</v>
          </cell>
          <cell r="U66">
            <v>309</v>
          </cell>
          <cell r="V66">
            <v>178</v>
          </cell>
          <cell r="W66">
            <v>687</v>
          </cell>
          <cell r="X66">
            <v>608</v>
          </cell>
          <cell r="Y66">
            <v>504</v>
          </cell>
          <cell r="Z66">
            <v>435</v>
          </cell>
          <cell r="AA66">
            <v>365</v>
          </cell>
          <cell r="AB66">
            <v>255</v>
          </cell>
          <cell r="AC66">
            <v>145</v>
          </cell>
        </row>
        <row r="67">
          <cell r="A67" t="str">
            <v>5-9-21</v>
          </cell>
          <cell r="B67">
            <v>925</v>
          </cell>
          <cell r="C67">
            <v>818</v>
          </cell>
          <cell r="D67">
            <v>677</v>
          </cell>
          <cell r="E67">
            <v>581</v>
          </cell>
          <cell r="F67">
            <v>484</v>
          </cell>
          <cell r="G67">
            <v>334</v>
          </cell>
          <cell r="H67">
            <v>183</v>
          </cell>
          <cell r="I67">
            <v>863</v>
          </cell>
          <cell r="J67">
            <v>750</v>
          </cell>
          <cell r="K67">
            <v>610</v>
          </cell>
          <cell r="L67">
            <v>518</v>
          </cell>
          <cell r="M67">
            <v>426</v>
          </cell>
          <cell r="N67">
            <v>292</v>
          </cell>
          <cell r="O67">
            <v>158</v>
          </cell>
          <cell r="P67">
            <v>693</v>
          </cell>
          <cell r="Q67">
            <v>626</v>
          </cell>
          <cell r="R67">
            <v>530</v>
          </cell>
          <cell r="S67">
            <v>462</v>
          </cell>
          <cell r="T67">
            <v>393</v>
          </cell>
          <cell r="U67">
            <v>277</v>
          </cell>
          <cell r="V67">
            <v>160</v>
          </cell>
          <cell r="W67">
            <v>647</v>
          </cell>
          <cell r="X67">
            <v>574</v>
          </cell>
          <cell r="Y67">
            <v>478</v>
          </cell>
          <cell r="Z67">
            <v>412</v>
          </cell>
          <cell r="AA67">
            <v>346</v>
          </cell>
          <cell r="AB67">
            <v>242</v>
          </cell>
          <cell r="AC67">
            <v>138</v>
          </cell>
        </row>
        <row r="68">
          <cell r="A68" t="str">
            <v>5-10-21</v>
          </cell>
          <cell r="B68">
            <v>821</v>
          </cell>
          <cell r="C68">
            <v>730</v>
          </cell>
          <cell r="D68">
            <v>588</v>
          </cell>
          <cell r="E68">
            <v>503</v>
          </cell>
          <cell r="F68">
            <v>417</v>
          </cell>
          <cell r="G68">
            <v>289</v>
          </cell>
          <cell r="H68">
            <v>160</v>
          </cell>
          <cell r="I68">
            <v>821</v>
          </cell>
          <cell r="J68">
            <v>730</v>
          </cell>
          <cell r="K68">
            <v>588</v>
          </cell>
          <cell r="L68">
            <v>491</v>
          </cell>
          <cell r="M68">
            <v>393</v>
          </cell>
          <cell r="N68">
            <v>271</v>
          </cell>
          <cell r="O68">
            <v>149</v>
          </cell>
          <cell r="P68">
            <v>616</v>
          </cell>
          <cell r="Q68">
            <v>558</v>
          </cell>
          <cell r="R68">
            <v>460</v>
          </cell>
          <cell r="S68">
            <v>400</v>
          </cell>
          <cell r="T68">
            <v>339</v>
          </cell>
          <cell r="U68">
            <v>239</v>
          </cell>
          <cell r="V68">
            <v>139</v>
          </cell>
          <cell r="W68">
            <v>616</v>
          </cell>
          <cell r="X68">
            <v>558</v>
          </cell>
          <cell r="Y68">
            <v>460</v>
          </cell>
          <cell r="Z68">
            <v>390</v>
          </cell>
          <cell r="AA68">
            <v>320</v>
          </cell>
          <cell r="AB68">
            <v>225</v>
          </cell>
          <cell r="AC68">
            <v>130</v>
          </cell>
        </row>
        <row r="69">
          <cell r="A69" t="str">
            <v>5-11-21</v>
          </cell>
          <cell r="B69">
            <v>766</v>
          </cell>
          <cell r="C69">
            <v>684</v>
          </cell>
          <cell r="D69">
            <v>555</v>
          </cell>
          <cell r="E69">
            <v>473</v>
          </cell>
          <cell r="F69">
            <v>391</v>
          </cell>
          <cell r="G69">
            <v>266</v>
          </cell>
          <cell r="H69">
            <v>141</v>
          </cell>
          <cell r="I69">
            <v>766</v>
          </cell>
          <cell r="J69">
            <v>684</v>
          </cell>
          <cell r="K69">
            <v>555</v>
          </cell>
          <cell r="L69">
            <v>473</v>
          </cell>
          <cell r="M69">
            <v>391</v>
          </cell>
          <cell r="N69">
            <v>266</v>
          </cell>
          <cell r="O69">
            <v>141</v>
          </cell>
          <cell r="P69">
            <v>574</v>
          </cell>
          <cell r="Q69">
            <v>523</v>
          </cell>
          <cell r="R69">
            <v>434</v>
          </cell>
          <cell r="S69">
            <v>376</v>
          </cell>
          <cell r="T69">
            <v>318</v>
          </cell>
          <cell r="U69">
            <v>221</v>
          </cell>
          <cell r="V69">
            <v>123</v>
          </cell>
          <cell r="W69">
            <v>574</v>
          </cell>
          <cell r="X69">
            <v>523</v>
          </cell>
          <cell r="Y69">
            <v>434</v>
          </cell>
          <cell r="Z69">
            <v>376</v>
          </cell>
          <cell r="AA69">
            <v>318</v>
          </cell>
          <cell r="AB69">
            <v>221</v>
          </cell>
          <cell r="AC69">
            <v>123</v>
          </cell>
        </row>
        <row r="70">
          <cell r="A70" t="str">
            <v>5-12-21</v>
          </cell>
          <cell r="B70">
            <v>710</v>
          </cell>
          <cell r="C70">
            <v>636</v>
          </cell>
          <cell r="D70">
            <v>525</v>
          </cell>
          <cell r="E70">
            <v>446</v>
          </cell>
          <cell r="F70">
            <v>367</v>
          </cell>
          <cell r="G70">
            <v>252</v>
          </cell>
          <cell r="H70">
            <v>137</v>
          </cell>
          <cell r="I70">
            <v>710</v>
          </cell>
          <cell r="J70">
            <v>636</v>
          </cell>
          <cell r="K70">
            <v>525</v>
          </cell>
          <cell r="L70">
            <v>446</v>
          </cell>
          <cell r="M70">
            <v>367</v>
          </cell>
          <cell r="N70">
            <v>252</v>
          </cell>
          <cell r="O70">
            <v>137</v>
          </cell>
          <cell r="P70">
            <v>532</v>
          </cell>
          <cell r="Q70">
            <v>487</v>
          </cell>
          <cell r="R70">
            <v>411</v>
          </cell>
          <cell r="S70">
            <v>355</v>
          </cell>
          <cell r="T70">
            <v>298</v>
          </cell>
          <cell r="U70">
            <v>209</v>
          </cell>
          <cell r="V70">
            <v>119</v>
          </cell>
          <cell r="W70">
            <v>532</v>
          </cell>
          <cell r="X70">
            <v>487</v>
          </cell>
          <cell r="Y70">
            <v>411</v>
          </cell>
          <cell r="Z70">
            <v>355</v>
          </cell>
          <cell r="AA70">
            <v>298</v>
          </cell>
          <cell r="AB70">
            <v>209</v>
          </cell>
          <cell r="AC70">
            <v>119</v>
          </cell>
        </row>
        <row r="71">
          <cell r="A71" t="str">
            <v>5-13-21</v>
          </cell>
          <cell r="B71">
            <v>649</v>
          </cell>
          <cell r="C71">
            <v>583</v>
          </cell>
          <cell r="D71">
            <v>483</v>
          </cell>
          <cell r="E71">
            <v>414</v>
          </cell>
          <cell r="F71">
            <v>345</v>
          </cell>
          <cell r="G71">
            <v>235</v>
          </cell>
          <cell r="H71">
            <v>125</v>
          </cell>
          <cell r="I71">
            <v>649</v>
          </cell>
          <cell r="J71">
            <v>583</v>
          </cell>
          <cell r="K71">
            <v>483</v>
          </cell>
          <cell r="L71">
            <v>414</v>
          </cell>
          <cell r="M71">
            <v>345</v>
          </cell>
          <cell r="N71">
            <v>235</v>
          </cell>
          <cell r="O71">
            <v>125</v>
          </cell>
          <cell r="P71">
            <v>486</v>
          </cell>
          <cell r="Q71">
            <v>446</v>
          </cell>
          <cell r="R71">
            <v>378</v>
          </cell>
          <cell r="S71">
            <v>329</v>
          </cell>
          <cell r="T71">
            <v>280</v>
          </cell>
          <cell r="U71">
            <v>195</v>
          </cell>
          <cell r="V71">
            <v>109</v>
          </cell>
          <cell r="W71">
            <v>486</v>
          </cell>
          <cell r="X71">
            <v>446</v>
          </cell>
          <cell r="Y71">
            <v>378</v>
          </cell>
          <cell r="Z71">
            <v>329</v>
          </cell>
          <cell r="AA71">
            <v>280</v>
          </cell>
          <cell r="AB71">
            <v>195</v>
          </cell>
          <cell r="AC71">
            <v>109</v>
          </cell>
        </row>
        <row r="72">
          <cell r="A72" t="str">
            <v>6-8-21</v>
          </cell>
          <cell r="B72">
            <v>1049</v>
          </cell>
          <cell r="C72">
            <v>920</v>
          </cell>
          <cell r="D72">
            <v>753</v>
          </cell>
          <cell r="E72">
            <v>644</v>
          </cell>
          <cell r="F72">
            <v>534</v>
          </cell>
          <cell r="G72">
            <v>368</v>
          </cell>
          <cell r="H72">
            <v>201</v>
          </cell>
          <cell r="I72">
            <v>915</v>
          </cell>
          <cell r="J72">
            <v>792</v>
          </cell>
          <cell r="K72">
            <v>640</v>
          </cell>
          <cell r="L72">
            <v>543</v>
          </cell>
          <cell r="M72">
            <v>446</v>
          </cell>
          <cell r="N72">
            <v>306</v>
          </cell>
          <cell r="O72">
            <v>166</v>
          </cell>
          <cell r="P72">
            <v>787</v>
          </cell>
          <cell r="Q72">
            <v>704</v>
          </cell>
          <cell r="R72">
            <v>590</v>
          </cell>
          <cell r="S72">
            <v>512</v>
          </cell>
          <cell r="T72">
            <v>434</v>
          </cell>
          <cell r="U72">
            <v>305</v>
          </cell>
          <cell r="V72">
            <v>175</v>
          </cell>
          <cell r="W72">
            <v>687</v>
          </cell>
          <cell r="X72">
            <v>606</v>
          </cell>
          <cell r="Y72">
            <v>501</v>
          </cell>
          <cell r="Z72">
            <v>432</v>
          </cell>
          <cell r="AA72">
            <v>363</v>
          </cell>
          <cell r="AB72">
            <v>254</v>
          </cell>
          <cell r="AC72">
            <v>145</v>
          </cell>
        </row>
        <row r="73">
          <cell r="A73" t="str">
            <v>6-9-21</v>
          </cell>
          <cell r="B73">
            <v>919</v>
          </cell>
          <cell r="C73">
            <v>811</v>
          </cell>
          <cell r="D73">
            <v>671</v>
          </cell>
          <cell r="E73">
            <v>575</v>
          </cell>
          <cell r="F73">
            <v>478</v>
          </cell>
          <cell r="G73">
            <v>329</v>
          </cell>
          <cell r="H73">
            <v>180</v>
          </cell>
          <cell r="I73">
            <v>861</v>
          </cell>
          <cell r="J73">
            <v>747</v>
          </cell>
          <cell r="K73">
            <v>606</v>
          </cell>
          <cell r="L73">
            <v>515</v>
          </cell>
          <cell r="M73">
            <v>424</v>
          </cell>
          <cell r="N73">
            <v>291</v>
          </cell>
          <cell r="O73">
            <v>157</v>
          </cell>
          <cell r="P73">
            <v>689</v>
          </cell>
          <cell r="Q73">
            <v>621</v>
          </cell>
          <cell r="R73">
            <v>525</v>
          </cell>
          <cell r="S73">
            <v>457</v>
          </cell>
          <cell r="T73">
            <v>388</v>
          </cell>
          <cell r="U73">
            <v>273</v>
          </cell>
          <cell r="V73">
            <v>157</v>
          </cell>
          <cell r="W73">
            <v>645</v>
          </cell>
          <cell r="X73">
            <v>572</v>
          </cell>
          <cell r="Y73">
            <v>475</v>
          </cell>
          <cell r="Z73">
            <v>410</v>
          </cell>
          <cell r="AA73">
            <v>344</v>
          </cell>
          <cell r="AB73">
            <v>241</v>
          </cell>
          <cell r="AC73">
            <v>137</v>
          </cell>
        </row>
        <row r="74">
          <cell r="A74" t="str">
            <v>6-10-21</v>
          </cell>
          <cell r="B74">
            <v>816</v>
          </cell>
          <cell r="C74">
            <v>724</v>
          </cell>
          <cell r="D74">
            <v>583</v>
          </cell>
          <cell r="E74">
            <v>500</v>
          </cell>
          <cell r="F74">
            <v>416</v>
          </cell>
          <cell r="G74">
            <v>287</v>
          </cell>
          <cell r="H74">
            <v>157</v>
          </cell>
          <cell r="I74">
            <v>816</v>
          </cell>
          <cell r="J74">
            <v>724</v>
          </cell>
          <cell r="K74">
            <v>583</v>
          </cell>
          <cell r="L74">
            <v>492</v>
          </cell>
          <cell r="M74">
            <v>401</v>
          </cell>
          <cell r="N74">
            <v>274</v>
          </cell>
          <cell r="O74">
            <v>147</v>
          </cell>
          <cell r="P74">
            <v>612</v>
          </cell>
          <cell r="Q74">
            <v>554</v>
          </cell>
          <cell r="R74">
            <v>456</v>
          </cell>
          <cell r="S74">
            <v>397</v>
          </cell>
          <cell r="T74">
            <v>338</v>
          </cell>
          <cell r="U74">
            <v>238</v>
          </cell>
          <cell r="V74">
            <v>137</v>
          </cell>
          <cell r="W74">
            <v>612</v>
          </cell>
          <cell r="X74">
            <v>554</v>
          </cell>
          <cell r="Y74">
            <v>456</v>
          </cell>
          <cell r="Z74">
            <v>391</v>
          </cell>
          <cell r="AA74">
            <v>326</v>
          </cell>
          <cell r="AB74">
            <v>227</v>
          </cell>
          <cell r="AC74">
            <v>128</v>
          </cell>
        </row>
        <row r="75">
          <cell r="A75" t="str">
            <v>6-11-21</v>
          </cell>
          <cell r="B75">
            <v>760</v>
          </cell>
          <cell r="C75">
            <v>677</v>
          </cell>
          <cell r="D75">
            <v>549</v>
          </cell>
          <cell r="E75">
            <v>468</v>
          </cell>
          <cell r="F75">
            <v>386</v>
          </cell>
          <cell r="G75">
            <v>264</v>
          </cell>
          <cell r="H75">
            <v>142</v>
          </cell>
          <cell r="I75">
            <v>760</v>
          </cell>
          <cell r="J75">
            <v>677</v>
          </cell>
          <cell r="K75">
            <v>549</v>
          </cell>
          <cell r="L75">
            <v>468</v>
          </cell>
          <cell r="M75">
            <v>386</v>
          </cell>
          <cell r="N75">
            <v>264</v>
          </cell>
          <cell r="O75">
            <v>142</v>
          </cell>
          <cell r="P75">
            <v>570</v>
          </cell>
          <cell r="Q75">
            <v>518</v>
          </cell>
          <cell r="R75">
            <v>430</v>
          </cell>
          <cell r="S75">
            <v>372</v>
          </cell>
          <cell r="T75">
            <v>314</v>
          </cell>
          <cell r="U75">
            <v>219</v>
          </cell>
          <cell r="V75">
            <v>124</v>
          </cell>
          <cell r="W75">
            <v>570</v>
          </cell>
          <cell r="X75">
            <v>518</v>
          </cell>
          <cell r="Y75">
            <v>430</v>
          </cell>
          <cell r="Z75">
            <v>372</v>
          </cell>
          <cell r="AA75">
            <v>314</v>
          </cell>
          <cell r="AB75">
            <v>219</v>
          </cell>
          <cell r="AC75">
            <v>124</v>
          </cell>
        </row>
        <row r="76">
          <cell r="A76" t="str">
            <v>6-12-21</v>
          </cell>
          <cell r="B76">
            <v>705</v>
          </cell>
          <cell r="C76">
            <v>630</v>
          </cell>
          <cell r="D76">
            <v>520</v>
          </cell>
          <cell r="E76">
            <v>443</v>
          </cell>
          <cell r="F76">
            <v>365</v>
          </cell>
          <cell r="G76">
            <v>251</v>
          </cell>
          <cell r="H76">
            <v>136</v>
          </cell>
          <cell r="I76">
            <v>705</v>
          </cell>
          <cell r="J76">
            <v>630</v>
          </cell>
          <cell r="K76">
            <v>520</v>
          </cell>
          <cell r="L76">
            <v>443</v>
          </cell>
          <cell r="M76">
            <v>365</v>
          </cell>
          <cell r="N76">
            <v>251</v>
          </cell>
          <cell r="O76">
            <v>136</v>
          </cell>
          <cell r="P76">
            <v>529</v>
          </cell>
          <cell r="Q76">
            <v>482</v>
          </cell>
          <cell r="R76">
            <v>407</v>
          </cell>
          <cell r="S76">
            <v>352</v>
          </cell>
          <cell r="T76">
            <v>296</v>
          </cell>
          <cell r="U76">
            <v>207</v>
          </cell>
          <cell r="V76">
            <v>118</v>
          </cell>
          <cell r="W76">
            <v>529</v>
          </cell>
          <cell r="X76">
            <v>482</v>
          </cell>
          <cell r="Y76">
            <v>407</v>
          </cell>
          <cell r="Z76">
            <v>352</v>
          </cell>
          <cell r="AA76">
            <v>296</v>
          </cell>
          <cell r="AB76">
            <v>207</v>
          </cell>
          <cell r="AC76">
            <v>118</v>
          </cell>
        </row>
        <row r="77">
          <cell r="A77" t="str">
            <v>6-13-21</v>
          </cell>
          <cell r="B77">
            <v>646</v>
          </cell>
          <cell r="C77">
            <v>580</v>
          </cell>
          <cell r="D77">
            <v>481</v>
          </cell>
          <cell r="E77">
            <v>412</v>
          </cell>
          <cell r="F77">
            <v>343</v>
          </cell>
          <cell r="G77">
            <v>234</v>
          </cell>
          <cell r="H77">
            <v>125</v>
          </cell>
          <cell r="I77">
            <v>646</v>
          </cell>
          <cell r="J77">
            <v>580</v>
          </cell>
          <cell r="K77">
            <v>481</v>
          </cell>
          <cell r="L77">
            <v>412</v>
          </cell>
          <cell r="M77">
            <v>343</v>
          </cell>
          <cell r="N77">
            <v>234</v>
          </cell>
          <cell r="O77">
            <v>125</v>
          </cell>
          <cell r="P77">
            <v>484</v>
          </cell>
          <cell r="Q77">
            <v>444</v>
          </cell>
          <cell r="R77">
            <v>376</v>
          </cell>
          <cell r="S77">
            <v>328</v>
          </cell>
          <cell r="T77">
            <v>279</v>
          </cell>
          <cell r="U77">
            <v>194</v>
          </cell>
          <cell r="V77">
            <v>109</v>
          </cell>
          <cell r="W77">
            <v>484</v>
          </cell>
          <cell r="X77">
            <v>444</v>
          </cell>
          <cell r="Y77">
            <v>376</v>
          </cell>
          <cell r="Z77">
            <v>328</v>
          </cell>
          <cell r="AA77">
            <v>279</v>
          </cell>
          <cell r="AB77">
            <v>194</v>
          </cell>
          <cell r="AC77">
            <v>109</v>
          </cell>
        </row>
        <row r="78">
          <cell r="A78" t="str">
            <v>6-14-21</v>
          </cell>
          <cell r="B78">
            <v>583</v>
          </cell>
          <cell r="C78">
            <v>525</v>
          </cell>
          <cell r="D78">
            <v>438</v>
          </cell>
          <cell r="E78">
            <v>376</v>
          </cell>
          <cell r="F78">
            <v>313</v>
          </cell>
          <cell r="G78">
            <v>213</v>
          </cell>
          <cell r="H78">
            <v>113</v>
          </cell>
          <cell r="I78">
            <v>583</v>
          </cell>
          <cell r="J78">
            <v>525</v>
          </cell>
          <cell r="K78">
            <v>438</v>
          </cell>
          <cell r="L78">
            <v>376</v>
          </cell>
          <cell r="M78">
            <v>313</v>
          </cell>
          <cell r="N78">
            <v>213</v>
          </cell>
          <cell r="O78">
            <v>113</v>
          </cell>
          <cell r="P78">
            <v>437</v>
          </cell>
          <cell r="Q78">
            <v>402</v>
          </cell>
          <cell r="R78">
            <v>343</v>
          </cell>
          <cell r="S78">
            <v>299</v>
          </cell>
          <cell r="T78">
            <v>255</v>
          </cell>
          <cell r="U78">
            <v>177</v>
          </cell>
          <cell r="V78">
            <v>99</v>
          </cell>
          <cell r="W78">
            <v>437</v>
          </cell>
          <cell r="X78">
            <v>402</v>
          </cell>
          <cell r="Y78">
            <v>343</v>
          </cell>
          <cell r="Z78">
            <v>299</v>
          </cell>
          <cell r="AA78">
            <v>255</v>
          </cell>
          <cell r="AB78">
            <v>177</v>
          </cell>
          <cell r="AC78">
            <v>99</v>
          </cell>
        </row>
        <row r="79">
          <cell r="A79" t="str">
            <v>7-9-21</v>
          </cell>
          <cell r="B79">
            <v>913</v>
          </cell>
          <cell r="C79">
            <v>805</v>
          </cell>
          <cell r="D79">
            <v>662</v>
          </cell>
          <cell r="E79">
            <v>567</v>
          </cell>
          <cell r="F79">
            <v>471</v>
          </cell>
          <cell r="G79">
            <v>324</v>
          </cell>
          <cell r="H79">
            <v>176</v>
          </cell>
          <cell r="I79">
            <v>859</v>
          </cell>
          <cell r="J79">
            <v>746</v>
          </cell>
          <cell r="K79">
            <v>604</v>
          </cell>
          <cell r="L79">
            <v>513</v>
          </cell>
          <cell r="M79">
            <v>421</v>
          </cell>
          <cell r="N79">
            <v>288</v>
          </cell>
          <cell r="O79">
            <v>154</v>
          </cell>
          <cell r="P79">
            <v>684</v>
          </cell>
          <cell r="Q79">
            <v>616</v>
          </cell>
          <cell r="R79">
            <v>518</v>
          </cell>
          <cell r="S79">
            <v>451</v>
          </cell>
          <cell r="T79">
            <v>383</v>
          </cell>
          <cell r="U79">
            <v>269</v>
          </cell>
          <cell r="V79">
            <v>154</v>
          </cell>
          <cell r="W79">
            <v>643</v>
          </cell>
          <cell r="X79">
            <v>571</v>
          </cell>
          <cell r="Y79">
            <v>472</v>
          </cell>
          <cell r="Z79">
            <v>407</v>
          </cell>
          <cell r="AA79">
            <v>342</v>
          </cell>
          <cell r="AB79">
            <v>239</v>
          </cell>
          <cell r="AC79">
            <v>135</v>
          </cell>
        </row>
        <row r="80">
          <cell r="A80" t="str">
            <v>7-10-21</v>
          </cell>
          <cell r="B80">
            <v>810</v>
          </cell>
          <cell r="C80">
            <v>717</v>
          </cell>
          <cell r="D80">
            <v>578</v>
          </cell>
          <cell r="E80">
            <v>495</v>
          </cell>
          <cell r="F80">
            <v>411</v>
          </cell>
          <cell r="G80">
            <v>283</v>
          </cell>
          <cell r="H80">
            <v>155</v>
          </cell>
          <cell r="I80">
            <v>810</v>
          </cell>
          <cell r="J80">
            <v>717</v>
          </cell>
          <cell r="K80">
            <v>578</v>
          </cell>
          <cell r="L80">
            <v>488</v>
          </cell>
          <cell r="M80">
            <v>398</v>
          </cell>
          <cell r="N80">
            <v>273</v>
          </cell>
          <cell r="O80">
            <v>147</v>
          </cell>
          <cell r="P80">
            <v>607</v>
          </cell>
          <cell r="Q80">
            <v>549</v>
          </cell>
          <cell r="R80">
            <v>453</v>
          </cell>
          <cell r="S80">
            <v>394</v>
          </cell>
          <cell r="T80">
            <v>334</v>
          </cell>
          <cell r="U80">
            <v>235</v>
          </cell>
          <cell r="V80">
            <v>135</v>
          </cell>
          <cell r="W80">
            <v>607</v>
          </cell>
          <cell r="X80">
            <v>549</v>
          </cell>
          <cell r="Y80">
            <v>453</v>
          </cell>
          <cell r="Z80">
            <v>389</v>
          </cell>
          <cell r="AA80">
            <v>324</v>
          </cell>
          <cell r="AB80">
            <v>226</v>
          </cell>
          <cell r="AC80">
            <v>128</v>
          </cell>
        </row>
        <row r="81">
          <cell r="A81" t="str">
            <v>7-11-21</v>
          </cell>
          <cell r="B81">
            <v>754</v>
          </cell>
          <cell r="C81">
            <v>671</v>
          </cell>
          <cell r="D81">
            <v>544</v>
          </cell>
          <cell r="E81">
            <v>463</v>
          </cell>
          <cell r="F81">
            <v>382</v>
          </cell>
          <cell r="G81">
            <v>262</v>
          </cell>
          <cell r="H81">
            <v>141</v>
          </cell>
          <cell r="I81">
            <v>754</v>
          </cell>
          <cell r="J81">
            <v>671</v>
          </cell>
          <cell r="K81">
            <v>544</v>
          </cell>
          <cell r="L81">
            <v>463</v>
          </cell>
          <cell r="M81">
            <v>382</v>
          </cell>
          <cell r="N81">
            <v>262</v>
          </cell>
          <cell r="O81">
            <v>141</v>
          </cell>
          <cell r="P81">
            <v>565</v>
          </cell>
          <cell r="Q81">
            <v>513</v>
          </cell>
          <cell r="R81">
            <v>426</v>
          </cell>
          <cell r="S81">
            <v>369</v>
          </cell>
          <cell r="T81">
            <v>311</v>
          </cell>
          <cell r="U81">
            <v>217</v>
          </cell>
          <cell r="V81">
            <v>122</v>
          </cell>
          <cell r="W81">
            <v>565</v>
          </cell>
          <cell r="X81">
            <v>513</v>
          </cell>
          <cell r="Y81">
            <v>426</v>
          </cell>
          <cell r="Z81">
            <v>369</v>
          </cell>
          <cell r="AA81">
            <v>311</v>
          </cell>
          <cell r="AB81">
            <v>217</v>
          </cell>
          <cell r="AC81">
            <v>122</v>
          </cell>
        </row>
        <row r="82">
          <cell r="A82" t="str">
            <v>7-12-21</v>
          </cell>
          <cell r="B82">
            <v>697</v>
          </cell>
          <cell r="C82">
            <v>623</v>
          </cell>
          <cell r="D82">
            <v>513</v>
          </cell>
          <cell r="E82">
            <v>437</v>
          </cell>
          <cell r="F82">
            <v>360</v>
          </cell>
          <cell r="G82">
            <v>248</v>
          </cell>
          <cell r="H82">
            <v>135</v>
          </cell>
          <cell r="I82">
            <v>697</v>
          </cell>
          <cell r="J82">
            <v>623</v>
          </cell>
          <cell r="K82">
            <v>513</v>
          </cell>
          <cell r="L82">
            <v>437</v>
          </cell>
          <cell r="M82">
            <v>360</v>
          </cell>
          <cell r="N82">
            <v>248</v>
          </cell>
          <cell r="O82">
            <v>135</v>
          </cell>
          <cell r="P82">
            <v>523</v>
          </cell>
          <cell r="Q82">
            <v>477</v>
          </cell>
          <cell r="R82">
            <v>402</v>
          </cell>
          <cell r="S82">
            <v>347</v>
          </cell>
          <cell r="T82">
            <v>292</v>
          </cell>
          <cell r="U82">
            <v>205</v>
          </cell>
          <cell r="V82">
            <v>117</v>
          </cell>
          <cell r="W82">
            <v>523</v>
          </cell>
          <cell r="X82">
            <v>477</v>
          </cell>
          <cell r="Y82">
            <v>402</v>
          </cell>
          <cell r="Z82">
            <v>347</v>
          </cell>
          <cell r="AA82">
            <v>292</v>
          </cell>
          <cell r="AB82">
            <v>205</v>
          </cell>
          <cell r="AC82">
            <v>117</v>
          </cell>
        </row>
        <row r="83">
          <cell r="A83" t="str">
            <v>7-13-21</v>
          </cell>
          <cell r="B83">
            <v>641</v>
          </cell>
          <cell r="C83">
            <v>576</v>
          </cell>
          <cell r="D83">
            <v>477</v>
          </cell>
          <cell r="E83">
            <v>409</v>
          </cell>
          <cell r="F83">
            <v>341</v>
          </cell>
          <cell r="G83">
            <v>234</v>
          </cell>
          <cell r="H83">
            <v>126</v>
          </cell>
          <cell r="I83">
            <v>641</v>
          </cell>
          <cell r="J83">
            <v>576</v>
          </cell>
          <cell r="K83">
            <v>477</v>
          </cell>
          <cell r="L83">
            <v>409</v>
          </cell>
          <cell r="M83">
            <v>341</v>
          </cell>
          <cell r="N83">
            <v>234</v>
          </cell>
          <cell r="O83">
            <v>126</v>
          </cell>
          <cell r="P83">
            <v>481</v>
          </cell>
          <cell r="Q83">
            <v>440</v>
          </cell>
          <cell r="R83">
            <v>374</v>
          </cell>
          <cell r="S83">
            <v>326</v>
          </cell>
          <cell r="T83">
            <v>277</v>
          </cell>
          <cell r="U83">
            <v>193</v>
          </cell>
          <cell r="V83">
            <v>109</v>
          </cell>
          <cell r="W83">
            <v>481</v>
          </cell>
          <cell r="X83">
            <v>440</v>
          </cell>
          <cell r="Y83">
            <v>374</v>
          </cell>
          <cell r="Z83">
            <v>326</v>
          </cell>
          <cell r="AA83">
            <v>277</v>
          </cell>
          <cell r="AB83">
            <v>193</v>
          </cell>
          <cell r="AC83">
            <v>109</v>
          </cell>
        </row>
        <row r="84">
          <cell r="A84" t="str">
            <v>7-14-21</v>
          </cell>
          <cell r="B84">
            <v>579</v>
          </cell>
          <cell r="C84">
            <v>522</v>
          </cell>
          <cell r="D84">
            <v>434</v>
          </cell>
          <cell r="E84">
            <v>373</v>
          </cell>
          <cell r="F84">
            <v>312</v>
          </cell>
          <cell r="G84">
            <v>213</v>
          </cell>
          <cell r="H84">
            <v>114</v>
          </cell>
          <cell r="I84">
            <v>579</v>
          </cell>
          <cell r="J84">
            <v>522</v>
          </cell>
          <cell r="K84">
            <v>434</v>
          </cell>
          <cell r="L84">
            <v>373</v>
          </cell>
          <cell r="M84">
            <v>312</v>
          </cell>
          <cell r="N84">
            <v>213</v>
          </cell>
          <cell r="O84">
            <v>114</v>
          </cell>
          <cell r="P84">
            <v>434</v>
          </cell>
          <cell r="Q84">
            <v>399</v>
          </cell>
          <cell r="R84">
            <v>340</v>
          </cell>
          <cell r="S84">
            <v>297</v>
          </cell>
          <cell r="T84">
            <v>253</v>
          </cell>
          <cell r="U84">
            <v>176</v>
          </cell>
          <cell r="V84">
            <v>99</v>
          </cell>
          <cell r="W84">
            <v>434</v>
          </cell>
          <cell r="X84">
            <v>399</v>
          </cell>
          <cell r="Y84">
            <v>340</v>
          </cell>
          <cell r="Z84">
            <v>297</v>
          </cell>
          <cell r="AA84">
            <v>253</v>
          </cell>
          <cell r="AB84">
            <v>176</v>
          </cell>
          <cell r="AC84">
            <v>99</v>
          </cell>
        </row>
        <row r="85">
          <cell r="A85" t="str">
            <v>7-15-21</v>
          </cell>
          <cell r="B85">
            <v>514</v>
          </cell>
          <cell r="C85">
            <v>466</v>
          </cell>
          <cell r="D85">
            <v>390</v>
          </cell>
          <cell r="E85">
            <v>336</v>
          </cell>
          <cell r="F85">
            <v>282</v>
          </cell>
          <cell r="G85">
            <v>192</v>
          </cell>
          <cell r="H85">
            <v>102</v>
          </cell>
          <cell r="I85">
            <v>514</v>
          </cell>
          <cell r="J85">
            <v>466</v>
          </cell>
          <cell r="K85">
            <v>390</v>
          </cell>
          <cell r="L85">
            <v>336</v>
          </cell>
          <cell r="M85">
            <v>282</v>
          </cell>
          <cell r="N85">
            <v>192</v>
          </cell>
          <cell r="O85">
            <v>102</v>
          </cell>
          <cell r="P85">
            <v>385</v>
          </cell>
          <cell r="Q85">
            <v>357</v>
          </cell>
          <cell r="R85">
            <v>306</v>
          </cell>
          <cell r="S85">
            <v>268</v>
          </cell>
          <cell r="T85">
            <v>229</v>
          </cell>
          <cell r="U85">
            <v>159</v>
          </cell>
          <cell r="V85">
            <v>89</v>
          </cell>
          <cell r="W85">
            <v>385</v>
          </cell>
          <cell r="X85">
            <v>357</v>
          </cell>
          <cell r="Y85">
            <v>306</v>
          </cell>
          <cell r="Z85">
            <v>268</v>
          </cell>
          <cell r="AA85">
            <v>229</v>
          </cell>
          <cell r="AB85">
            <v>159</v>
          </cell>
          <cell r="AC85">
            <v>89</v>
          </cell>
        </row>
        <row r="86">
          <cell r="A86" t="str">
            <v>8-10-21</v>
          </cell>
          <cell r="B86">
            <v>803</v>
          </cell>
          <cell r="C86">
            <v>711</v>
          </cell>
          <cell r="D86">
            <v>572</v>
          </cell>
          <cell r="E86">
            <v>488</v>
          </cell>
          <cell r="F86">
            <v>404</v>
          </cell>
          <cell r="G86">
            <v>278</v>
          </cell>
          <cell r="H86">
            <v>151</v>
          </cell>
          <cell r="I86">
            <v>803</v>
          </cell>
          <cell r="J86">
            <v>711</v>
          </cell>
          <cell r="K86">
            <v>572</v>
          </cell>
          <cell r="L86">
            <v>484</v>
          </cell>
          <cell r="M86">
            <v>396</v>
          </cell>
          <cell r="N86">
            <v>270</v>
          </cell>
          <cell r="O86">
            <v>144</v>
          </cell>
          <cell r="P86">
            <v>602</v>
          </cell>
          <cell r="Q86">
            <v>544</v>
          </cell>
          <cell r="R86">
            <v>448</v>
          </cell>
          <cell r="S86">
            <v>388</v>
          </cell>
          <cell r="T86">
            <v>328</v>
          </cell>
          <cell r="U86">
            <v>230</v>
          </cell>
          <cell r="V86">
            <v>132</v>
          </cell>
          <cell r="W86">
            <v>602</v>
          </cell>
          <cell r="X86">
            <v>544</v>
          </cell>
          <cell r="Y86">
            <v>448</v>
          </cell>
          <cell r="Z86">
            <v>385</v>
          </cell>
          <cell r="AA86">
            <v>322</v>
          </cell>
          <cell r="AB86">
            <v>224</v>
          </cell>
          <cell r="AC86">
            <v>126</v>
          </cell>
        </row>
        <row r="87">
          <cell r="A87" t="str">
            <v>8-11-21</v>
          </cell>
          <cell r="B87">
            <v>747</v>
          </cell>
          <cell r="C87">
            <v>665</v>
          </cell>
          <cell r="D87">
            <v>544</v>
          </cell>
          <cell r="E87">
            <v>461</v>
          </cell>
          <cell r="F87">
            <v>377</v>
          </cell>
          <cell r="G87">
            <v>258</v>
          </cell>
          <cell r="H87">
            <v>138</v>
          </cell>
          <cell r="I87">
            <v>747</v>
          </cell>
          <cell r="J87">
            <v>665</v>
          </cell>
          <cell r="K87">
            <v>544</v>
          </cell>
          <cell r="L87">
            <v>461</v>
          </cell>
          <cell r="M87">
            <v>377</v>
          </cell>
          <cell r="N87">
            <v>258</v>
          </cell>
          <cell r="O87">
            <v>138</v>
          </cell>
          <cell r="P87">
            <v>560</v>
          </cell>
          <cell r="Q87">
            <v>508</v>
          </cell>
          <cell r="R87">
            <v>426</v>
          </cell>
          <cell r="S87">
            <v>367</v>
          </cell>
          <cell r="T87">
            <v>307</v>
          </cell>
          <cell r="U87">
            <v>214</v>
          </cell>
          <cell r="V87">
            <v>120</v>
          </cell>
          <cell r="W87">
            <v>560</v>
          </cell>
          <cell r="X87">
            <v>508</v>
          </cell>
          <cell r="Y87">
            <v>426</v>
          </cell>
          <cell r="Z87">
            <v>367</v>
          </cell>
          <cell r="AA87">
            <v>307</v>
          </cell>
          <cell r="AB87">
            <v>214</v>
          </cell>
          <cell r="AC87">
            <v>120</v>
          </cell>
        </row>
        <row r="88">
          <cell r="A88" t="str">
            <v>8-12-21</v>
          </cell>
          <cell r="B88">
            <v>691</v>
          </cell>
          <cell r="C88">
            <v>617</v>
          </cell>
          <cell r="D88">
            <v>508</v>
          </cell>
          <cell r="E88">
            <v>432</v>
          </cell>
          <cell r="F88">
            <v>356</v>
          </cell>
          <cell r="G88">
            <v>244</v>
          </cell>
          <cell r="H88">
            <v>131</v>
          </cell>
          <cell r="I88">
            <v>691</v>
          </cell>
          <cell r="J88">
            <v>617</v>
          </cell>
          <cell r="K88">
            <v>508</v>
          </cell>
          <cell r="L88">
            <v>432</v>
          </cell>
          <cell r="M88">
            <v>356</v>
          </cell>
          <cell r="N88">
            <v>244</v>
          </cell>
          <cell r="O88">
            <v>131</v>
          </cell>
          <cell r="P88">
            <v>518</v>
          </cell>
          <cell r="Q88">
            <v>472</v>
          </cell>
          <cell r="R88">
            <v>397</v>
          </cell>
          <cell r="S88">
            <v>343</v>
          </cell>
          <cell r="T88">
            <v>289</v>
          </cell>
          <cell r="U88">
            <v>202</v>
          </cell>
          <cell r="V88">
            <v>114</v>
          </cell>
          <cell r="W88">
            <v>518</v>
          </cell>
          <cell r="X88">
            <v>472</v>
          </cell>
          <cell r="Y88">
            <v>397</v>
          </cell>
          <cell r="Z88">
            <v>343</v>
          </cell>
          <cell r="AA88">
            <v>289</v>
          </cell>
          <cell r="AB88">
            <v>202</v>
          </cell>
          <cell r="AC88">
            <v>114</v>
          </cell>
        </row>
        <row r="89">
          <cell r="A89" t="str">
            <v>8-13-21</v>
          </cell>
          <cell r="B89">
            <v>634</v>
          </cell>
          <cell r="C89">
            <v>569</v>
          </cell>
          <cell r="D89">
            <v>471</v>
          </cell>
          <cell r="E89">
            <v>404</v>
          </cell>
          <cell r="F89">
            <v>337</v>
          </cell>
          <cell r="G89">
            <v>231</v>
          </cell>
          <cell r="H89">
            <v>124</v>
          </cell>
          <cell r="I89">
            <v>634</v>
          </cell>
          <cell r="J89">
            <v>569</v>
          </cell>
          <cell r="K89">
            <v>471</v>
          </cell>
          <cell r="L89">
            <v>404</v>
          </cell>
          <cell r="M89">
            <v>337</v>
          </cell>
          <cell r="N89">
            <v>231</v>
          </cell>
          <cell r="O89">
            <v>124</v>
          </cell>
          <cell r="P89">
            <v>475</v>
          </cell>
          <cell r="Q89">
            <v>435</v>
          </cell>
          <cell r="R89">
            <v>369</v>
          </cell>
          <cell r="S89">
            <v>322</v>
          </cell>
          <cell r="T89">
            <v>274</v>
          </cell>
          <cell r="U89">
            <v>191</v>
          </cell>
          <cell r="V89">
            <v>108</v>
          </cell>
          <cell r="W89">
            <v>475</v>
          </cell>
          <cell r="X89">
            <v>435</v>
          </cell>
          <cell r="Y89">
            <v>369</v>
          </cell>
          <cell r="Z89">
            <v>322</v>
          </cell>
          <cell r="AA89">
            <v>274</v>
          </cell>
          <cell r="AB89">
            <v>191</v>
          </cell>
          <cell r="AC89">
            <v>108</v>
          </cell>
        </row>
        <row r="90">
          <cell r="A90" t="str">
            <v>8-14-21</v>
          </cell>
          <cell r="B90">
            <v>574</v>
          </cell>
          <cell r="C90">
            <v>519</v>
          </cell>
          <cell r="D90">
            <v>432</v>
          </cell>
          <cell r="E90">
            <v>372</v>
          </cell>
          <cell r="F90">
            <v>311</v>
          </cell>
          <cell r="G90">
            <v>213</v>
          </cell>
          <cell r="H90">
            <v>114</v>
          </cell>
          <cell r="I90">
            <v>574</v>
          </cell>
          <cell r="J90">
            <v>519</v>
          </cell>
          <cell r="K90">
            <v>432</v>
          </cell>
          <cell r="L90">
            <v>372</v>
          </cell>
          <cell r="M90">
            <v>311</v>
          </cell>
          <cell r="N90">
            <v>213</v>
          </cell>
          <cell r="O90">
            <v>114</v>
          </cell>
          <cell r="P90">
            <v>431</v>
          </cell>
          <cell r="Q90">
            <v>397</v>
          </cell>
          <cell r="R90">
            <v>338</v>
          </cell>
          <cell r="S90">
            <v>296</v>
          </cell>
          <cell r="T90">
            <v>253</v>
          </cell>
          <cell r="U90">
            <v>176</v>
          </cell>
          <cell r="V90">
            <v>99</v>
          </cell>
          <cell r="W90">
            <v>431</v>
          </cell>
          <cell r="X90">
            <v>397</v>
          </cell>
          <cell r="Y90">
            <v>338</v>
          </cell>
          <cell r="Z90">
            <v>296</v>
          </cell>
          <cell r="AA90">
            <v>253</v>
          </cell>
          <cell r="AB90">
            <v>176</v>
          </cell>
          <cell r="AC90">
            <v>99</v>
          </cell>
        </row>
        <row r="91">
          <cell r="A91" t="str">
            <v>8-15-21</v>
          </cell>
          <cell r="B91">
            <v>511</v>
          </cell>
          <cell r="C91">
            <v>462</v>
          </cell>
          <cell r="D91">
            <v>387</v>
          </cell>
          <cell r="E91">
            <v>334</v>
          </cell>
          <cell r="F91">
            <v>280</v>
          </cell>
          <cell r="G91">
            <v>191</v>
          </cell>
          <cell r="H91">
            <v>102</v>
          </cell>
          <cell r="I91">
            <v>511</v>
          </cell>
          <cell r="J91">
            <v>462</v>
          </cell>
          <cell r="K91">
            <v>387</v>
          </cell>
          <cell r="L91">
            <v>334</v>
          </cell>
          <cell r="M91">
            <v>280</v>
          </cell>
          <cell r="N91">
            <v>191</v>
          </cell>
          <cell r="O91">
            <v>102</v>
          </cell>
          <cell r="P91">
            <v>383</v>
          </cell>
          <cell r="Q91">
            <v>354</v>
          </cell>
          <cell r="R91">
            <v>303</v>
          </cell>
          <cell r="S91">
            <v>265</v>
          </cell>
          <cell r="T91">
            <v>227</v>
          </cell>
          <cell r="U91">
            <v>158</v>
          </cell>
          <cell r="V91">
            <v>89</v>
          </cell>
          <cell r="W91">
            <v>383</v>
          </cell>
          <cell r="X91">
            <v>354</v>
          </cell>
          <cell r="Y91">
            <v>303</v>
          </cell>
          <cell r="Z91">
            <v>265</v>
          </cell>
          <cell r="AA91">
            <v>227</v>
          </cell>
          <cell r="AB91">
            <v>158</v>
          </cell>
          <cell r="AC91">
            <v>89</v>
          </cell>
        </row>
        <row r="92">
          <cell r="A92" t="str">
            <v>8-16-21</v>
          </cell>
          <cell r="B92">
            <v>443</v>
          </cell>
          <cell r="C92">
            <v>403</v>
          </cell>
          <cell r="D92">
            <v>341</v>
          </cell>
          <cell r="E92">
            <v>295</v>
          </cell>
          <cell r="F92">
            <v>248</v>
          </cell>
          <cell r="G92">
            <v>170</v>
          </cell>
          <cell r="H92">
            <v>92</v>
          </cell>
          <cell r="I92">
            <v>443</v>
          </cell>
          <cell r="J92">
            <v>403</v>
          </cell>
          <cell r="K92">
            <v>341</v>
          </cell>
          <cell r="L92">
            <v>295</v>
          </cell>
          <cell r="M92">
            <v>248</v>
          </cell>
          <cell r="N92">
            <v>170</v>
          </cell>
          <cell r="O92">
            <v>92</v>
          </cell>
          <cell r="P92">
            <v>332</v>
          </cell>
          <cell r="Q92">
            <v>309</v>
          </cell>
          <cell r="R92">
            <v>267</v>
          </cell>
          <cell r="S92">
            <v>235</v>
          </cell>
          <cell r="T92">
            <v>202</v>
          </cell>
          <cell r="U92">
            <v>141</v>
          </cell>
          <cell r="V92">
            <v>80</v>
          </cell>
          <cell r="W92">
            <v>332</v>
          </cell>
          <cell r="X92">
            <v>309</v>
          </cell>
          <cell r="Y92">
            <v>267</v>
          </cell>
          <cell r="Z92">
            <v>235</v>
          </cell>
          <cell r="AA92">
            <v>202</v>
          </cell>
          <cell r="AB92">
            <v>141</v>
          </cell>
          <cell r="AC92">
            <v>80</v>
          </cell>
        </row>
        <row r="93">
          <cell r="A93" t="str">
            <v>9-11-21</v>
          </cell>
          <cell r="B93">
            <v>741</v>
          </cell>
          <cell r="C93">
            <v>657</v>
          </cell>
          <cell r="D93">
            <v>538</v>
          </cell>
          <cell r="E93">
            <v>456</v>
          </cell>
          <cell r="F93">
            <v>374</v>
          </cell>
          <cell r="G93">
            <v>256</v>
          </cell>
          <cell r="H93">
            <v>137</v>
          </cell>
          <cell r="I93">
            <v>741</v>
          </cell>
          <cell r="J93">
            <v>657</v>
          </cell>
          <cell r="K93">
            <v>538</v>
          </cell>
          <cell r="L93">
            <v>456</v>
          </cell>
          <cell r="M93">
            <v>374</v>
          </cell>
          <cell r="N93">
            <v>256</v>
          </cell>
          <cell r="O93">
            <v>137</v>
          </cell>
          <cell r="P93">
            <v>555</v>
          </cell>
          <cell r="Q93">
            <v>503</v>
          </cell>
          <cell r="R93">
            <v>421</v>
          </cell>
          <cell r="S93">
            <v>363</v>
          </cell>
          <cell r="T93">
            <v>304</v>
          </cell>
          <cell r="U93">
            <v>212</v>
          </cell>
          <cell r="V93">
            <v>119</v>
          </cell>
          <cell r="W93">
            <v>555</v>
          </cell>
          <cell r="X93">
            <v>503</v>
          </cell>
          <cell r="Y93">
            <v>421</v>
          </cell>
          <cell r="Z93">
            <v>363</v>
          </cell>
          <cell r="AA93">
            <v>304</v>
          </cell>
          <cell r="AB93">
            <v>212</v>
          </cell>
          <cell r="AC93">
            <v>119</v>
          </cell>
        </row>
        <row r="94">
          <cell r="A94" t="str">
            <v>9-12-21</v>
          </cell>
          <cell r="B94">
            <v>684</v>
          </cell>
          <cell r="C94">
            <v>610</v>
          </cell>
          <cell r="D94">
            <v>501</v>
          </cell>
          <cell r="E94">
            <v>426</v>
          </cell>
          <cell r="F94">
            <v>351</v>
          </cell>
          <cell r="G94">
            <v>240</v>
          </cell>
          <cell r="H94">
            <v>128</v>
          </cell>
          <cell r="I94">
            <v>684</v>
          </cell>
          <cell r="J94">
            <v>610</v>
          </cell>
          <cell r="K94">
            <v>501</v>
          </cell>
          <cell r="L94">
            <v>426</v>
          </cell>
          <cell r="M94">
            <v>351</v>
          </cell>
          <cell r="N94">
            <v>240</v>
          </cell>
          <cell r="O94">
            <v>128</v>
          </cell>
          <cell r="P94">
            <v>513</v>
          </cell>
          <cell r="Q94">
            <v>466</v>
          </cell>
          <cell r="R94">
            <v>392</v>
          </cell>
          <cell r="S94">
            <v>339</v>
          </cell>
          <cell r="T94">
            <v>285</v>
          </cell>
          <cell r="U94">
            <v>199</v>
          </cell>
          <cell r="V94">
            <v>112</v>
          </cell>
          <cell r="W94">
            <v>513</v>
          </cell>
          <cell r="X94">
            <v>466</v>
          </cell>
          <cell r="Y94">
            <v>392</v>
          </cell>
          <cell r="Z94">
            <v>339</v>
          </cell>
          <cell r="AA94">
            <v>285</v>
          </cell>
          <cell r="AB94">
            <v>199</v>
          </cell>
          <cell r="AC94">
            <v>112</v>
          </cell>
        </row>
        <row r="95">
          <cell r="A95" t="str">
            <v>9-13-21</v>
          </cell>
          <cell r="B95">
            <v>627</v>
          </cell>
          <cell r="C95">
            <v>562</v>
          </cell>
          <cell r="D95">
            <v>465</v>
          </cell>
          <cell r="E95">
            <v>399</v>
          </cell>
          <cell r="F95">
            <v>332</v>
          </cell>
          <cell r="G95">
            <v>227</v>
          </cell>
          <cell r="H95">
            <v>122</v>
          </cell>
          <cell r="I95">
            <v>627</v>
          </cell>
          <cell r="J95">
            <v>562</v>
          </cell>
          <cell r="K95">
            <v>465</v>
          </cell>
          <cell r="L95">
            <v>399</v>
          </cell>
          <cell r="M95">
            <v>332</v>
          </cell>
          <cell r="N95">
            <v>227</v>
          </cell>
          <cell r="O95">
            <v>122</v>
          </cell>
          <cell r="P95">
            <v>470</v>
          </cell>
          <cell r="Q95">
            <v>430</v>
          </cell>
          <cell r="R95">
            <v>364</v>
          </cell>
          <cell r="S95">
            <v>317</v>
          </cell>
          <cell r="T95">
            <v>270</v>
          </cell>
          <cell r="U95">
            <v>189</v>
          </cell>
          <cell r="V95">
            <v>107</v>
          </cell>
          <cell r="W95">
            <v>470</v>
          </cell>
          <cell r="X95">
            <v>430</v>
          </cell>
          <cell r="Y95">
            <v>364</v>
          </cell>
          <cell r="Z95">
            <v>317</v>
          </cell>
          <cell r="AA95">
            <v>270</v>
          </cell>
          <cell r="AB95">
            <v>189</v>
          </cell>
          <cell r="AC95">
            <v>107</v>
          </cell>
        </row>
        <row r="96">
          <cell r="A96" t="str">
            <v>9-14-21</v>
          </cell>
          <cell r="B96">
            <v>568</v>
          </cell>
          <cell r="C96">
            <v>512</v>
          </cell>
          <cell r="D96">
            <v>426</v>
          </cell>
          <cell r="E96">
            <v>367</v>
          </cell>
          <cell r="F96">
            <v>307</v>
          </cell>
          <cell r="G96">
            <v>210</v>
          </cell>
          <cell r="H96">
            <v>113</v>
          </cell>
          <cell r="I96">
            <v>568</v>
          </cell>
          <cell r="J96">
            <v>512</v>
          </cell>
          <cell r="K96">
            <v>426</v>
          </cell>
          <cell r="L96">
            <v>367</v>
          </cell>
          <cell r="M96">
            <v>307</v>
          </cell>
          <cell r="N96">
            <v>210</v>
          </cell>
          <cell r="O96">
            <v>113</v>
          </cell>
          <cell r="P96">
            <v>426</v>
          </cell>
          <cell r="Q96">
            <v>392</v>
          </cell>
          <cell r="R96">
            <v>333</v>
          </cell>
          <cell r="S96">
            <v>292</v>
          </cell>
          <cell r="T96">
            <v>250</v>
          </cell>
          <cell r="U96">
            <v>175</v>
          </cell>
          <cell r="V96">
            <v>99</v>
          </cell>
          <cell r="W96">
            <v>426</v>
          </cell>
          <cell r="X96">
            <v>392</v>
          </cell>
          <cell r="Y96">
            <v>333</v>
          </cell>
          <cell r="Z96">
            <v>292</v>
          </cell>
          <cell r="AA96">
            <v>250</v>
          </cell>
          <cell r="AB96">
            <v>175</v>
          </cell>
          <cell r="AC96">
            <v>99</v>
          </cell>
        </row>
        <row r="97">
          <cell r="A97" t="str">
            <v>9-15-21</v>
          </cell>
          <cell r="B97">
            <v>507</v>
          </cell>
          <cell r="C97">
            <v>458</v>
          </cell>
          <cell r="D97">
            <v>385</v>
          </cell>
          <cell r="E97">
            <v>332</v>
          </cell>
          <cell r="F97">
            <v>278</v>
          </cell>
          <cell r="G97">
            <v>190</v>
          </cell>
          <cell r="H97">
            <v>102</v>
          </cell>
          <cell r="I97">
            <v>507</v>
          </cell>
          <cell r="J97">
            <v>458</v>
          </cell>
          <cell r="K97">
            <v>385</v>
          </cell>
          <cell r="L97">
            <v>332</v>
          </cell>
          <cell r="M97">
            <v>278</v>
          </cell>
          <cell r="N97">
            <v>190</v>
          </cell>
          <cell r="O97">
            <v>102</v>
          </cell>
          <cell r="P97">
            <v>380</v>
          </cell>
          <cell r="Q97">
            <v>351</v>
          </cell>
          <cell r="R97">
            <v>301</v>
          </cell>
          <cell r="S97">
            <v>264</v>
          </cell>
          <cell r="T97">
            <v>226</v>
          </cell>
          <cell r="U97">
            <v>158</v>
          </cell>
          <cell r="V97">
            <v>89</v>
          </cell>
          <cell r="W97">
            <v>380</v>
          </cell>
          <cell r="X97">
            <v>351</v>
          </cell>
          <cell r="Y97">
            <v>301</v>
          </cell>
          <cell r="Z97">
            <v>264</v>
          </cell>
          <cell r="AA97">
            <v>226</v>
          </cell>
          <cell r="AB97">
            <v>158</v>
          </cell>
          <cell r="AC97">
            <v>89</v>
          </cell>
        </row>
        <row r="98">
          <cell r="A98" t="str">
            <v>9-16-21</v>
          </cell>
          <cell r="B98">
            <v>440</v>
          </cell>
          <cell r="C98">
            <v>400</v>
          </cell>
          <cell r="D98">
            <v>338</v>
          </cell>
          <cell r="E98">
            <v>293</v>
          </cell>
          <cell r="F98">
            <v>247</v>
          </cell>
          <cell r="G98">
            <v>169</v>
          </cell>
          <cell r="H98">
            <v>91</v>
          </cell>
          <cell r="I98">
            <v>440</v>
          </cell>
          <cell r="J98">
            <v>400</v>
          </cell>
          <cell r="K98">
            <v>338</v>
          </cell>
          <cell r="L98">
            <v>293</v>
          </cell>
          <cell r="M98">
            <v>247</v>
          </cell>
          <cell r="N98">
            <v>169</v>
          </cell>
          <cell r="O98">
            <v>91</v>
          </cell>
          <cell r="P98">
            <v>330</v>
          </cell>
          <cell r="Q98">
            <v>306</v>
          </cell>
          <cell r="R98">
            <v>265</v>
          </cell>
          <cell r="S98">
            <v>233</v>
          </cell>
          <cell r="T98">
            <v>201</v>
          </cell>
          <cell r="U98">
            <v>140</v>
          </cell>
          <cell r="V98">
            <v>79</v>
          </cell>
          <cell r="W98">
            <v>330</v>
          </cell>
          <cell r="X98">
            <v>306</v>
          </cell>
          <cell r="Y98">
            <v>265</v>
          </cell>
          <cell r="Z98">
            <v>233</v>
          </cell>
          <cell r="AA98">
            <v>201</v>
          </cell>
          <cell r="AB98">
            <v>140</v>
          </cell>
          <cell r="AC98">
            <v>79</v>
          </cell>
        </row>
        <row r="99">
          <cell r="A99" t="str">
            <v>10-12-21</v>
          </cell>
          <cell r="B99">
            <v>676</v>
          </cell>
          <cell r="C99">
            <v>603</v>
          </cell>
          <cell r="D99">
            <v>495</v>
          </cell>
          <cell r="E99">
            <v>421</v>
          </cell>
          <cell r="F99">
            <v>346</v>
          </cell>
          <cell r="G99">
            <v>236</v>
          </cell>
          <cell r="H99">
            <v>126</v>
          </cell>
          <cell r="I99">
            <v>676</v>
          </cell>
          <cell r="J99">
            <v>603</v>
          </cell>
          <cell r="K99">
            <v>495</v>
          </cell>
          <cell r="L99">
            <v>421</v>
          </cell>
          <cell r="M99">
            <v>346</v>
          </cell>
          <cell r="N99">
            <v>236</v>
          </cell>
          <cell r="O99">
            <v>126</v>
          </cell>
          <cell r="P99">
            <v>507</v>
          </cell>
          <cell r="Q99">
            <v>461</v>
          </cell>
          <cell r="R99">
            <v>388</v>
          </cell>
          <cell r="S99">
            <v>335</v>
          </cell>
          <cell r="T99">
            <v>281</v>
          </cell>
          <cell r="U99">
            <v>196</v>
          </cell>
          <cell r="V99">
            <v>110</v>
          </cell>
          <cell r="W99">
            <v>507</v>
          </cell>
          <cell r="X99">
            <v>461</v>
          </cell>
          <cell r="Y99">
            <v>388</v>
          </cell>
          <cell r="Z99">
            <v>335</v>
          </cell>
          <cell r="AA99">
            <v>281</v>
          </cell>
          <cell r="AB99">
            <v>196</v>
          </cell>
          <cell r="AC99">
            <v>110</v>
          </cell>
        </row>
        <row r="100">
          <cell r="A100" t="str">
            <v>10-13-21</v>
          </cell>
          <cell r="B100">
            <v>619</v>
          </cell>
          <cell r="C100">
            <v>554</v>
          </cell>
          <cell r="D100">
            <v>458</v>
          </cell>
          <cell r="E100">
            <v>393</v>
          </cell>
          <cell r="F100">
            <v>327</v>
          </cell>
          <cell r="G100">
            <v>224</v>
          </cell>
          <cell r="H100">
            <v>121</v>
          </cell>
          <cell r="I100">
            <v>619</v>
          </cell>
          <cell r="J100">
            <v>554</v>
          </cell>
          <cell r="K100">
            <v>458</v>
          </cell>
          <cell r="L100">
            <v>393</v>
          </cell>
          <cell r="M100">
            <v>327</v>
          </cell>
          <cell r="N100">
            <v>224</v>
          </cell>
          <cell r="O100">
            <v>121</v>
          </cell>
          <cell r="P100">
            <v>464</v>
          </cell>
          <cell r="Q100">
            <v>424</v>
          </cell>
          <cell r="R100">
            <v>358</v>
          </cell>
          <cell r="S100">
            <v>312</v>
          </cell>
          <cell r="T100">
            <v>266</v>
          </cell>
          <cell r="U100">
            <v>186</v>
          </cell>
          <cell r="V100">
            <v>105</v>
          </cell>
          <cell r="W100">
            <v>464</v>
          </cell>
          <cell r="X100">
            <v>424</v>
          </cell>
          <cell r="Y100">
            <v>358</v>
          </cell>
          <cell r="Z100">
            <v>312</v>
          </cell>
          <cell r="AA100">
            <v>266</v>
          </cell>
          <cell r="AB100">
            <v>186</v>
          </cell>
          <cell r="AC100">
            <v>105</v>
          </cell>
        </row>
        <row r="101">
          <cell r="A101" t="str">
            <v>10-14-21</v>
          </cell>
          <cell r="B101">
            <v>561</v>
          </cell>
          <cell r="C101">
            <v>505</v>
          </cell>
          <cell r="D101">
            <v>420</v>
          </cell>
          <cell r="E101">
            <v>361</v>
          </cell>
          <cell r="F101">
            <v>302</v>
          </cell>
          <cell r="G101">
            <v>207</v>
          </cell>
          <cell r="H101">
            <v>111</v>
          </cell>
          <cell r="I101">
            <v>561</v>
          </cell>
          <cell r="J101">
            <v>505</v>
          </cell>
          <cell r="K101">
            <v>420</v>
          </cell>
          <cell r="L101">
            <v>361</v>
          </cell>
          <cell r="M101">
            <v>302</v>
          </cell>
          <cell r="N101">
            <v>207</v>
          </cell>
          <cell r="O101">
            <v>111</v>
          </cell>
          <cell r="P101">
            <v>421</v>
          </cell>
          <cell r="Q101">
            <v>386</v>
          </cell>
          <cell r="R101">
            <v>329</v>
          </cell>
          <cell r="S101">
            <v>287</v>
          </cell>
          <cell r="T101">
            <v>245</v>
          </cell>
          <cell r="U101">
            <v>171</v>
          </cell>
          <cell r="V101">
            <v>97</v>
          </cell>
          <cell r="W101">
            <v>421</v>
          </cell>
          <cell r="X101">
            <v>386</v>
          </cell>
          <cell r="Y101">
            <v>329</v>
          </cell>
          <cell r="Z101">
            <v>287</v>
          </cell>
          <cell r="AA101">
            <v>245</v>
          </cell>
          <cell r="AB101">
            <v>171</v>
          </cell>
          <cell r="AC101">
            <v>97</v>
          </cell>
        </row>
        <row r="102">
          <cell r="A102" t="str">
            <v>10-15-21</v>
          </cell>
          <cell r="B102">
            <v>501</v>
          </cell>
          <cell r="C102">
            <v>454</v>
          </cell>
          <cell r="D102">
            <v>380</v>
          </cell>
          <cell r="E102">
            <v>328</v>
          </cell>
          <cell r="F102">
            <v>276</v>
          </cell>
          <cell r="G102">
            <v>189</v>
          </cell>
          <cell r="H102">
            <v>102</v>
          </cell>
          <cell r="I102">
            <v>501</v>
          </cell>
          <cell r="J102">
            <v>454</v>
          </cell>
          <cell r="K102">
            <v>380</v>
          </cell>
          <cell r="L102">
            <v>328</v>
          </cell>
          <cell r="M102">
            <v>276</v>
          </cell>
          <cell r="N102">
            <v>189</v>
          </cell>
          <cell r="O102">
            <v>102</v>
          </cell>
          <cell r="P102">
            <v>376</v>
          </cell>
          <cell r="Q102">
            <v>347</v>
          </cell>
          <cell r="R102">
            <v>297</v>
          </cell>
          <cell r="S102">
            <v>261</v>
          </cell>
          <cell r="T102">
            <v>224</v>
          </cell>
          <cell r="U102">
            <v>157</v>
          </cell>
          <cell r="V102">
            <v>89</v>
          </cell>
          <cell r="W102">
            <v>376</v>
          </cell>
          <cell r="X102">
            <v>347</v>
          </cell>
          <cell r="Y102">
            <v>297</v>
          </cell>
          <cell r="Z102">
            <v>261</v>
          </cell>
          <cell r="AA102">
            <v>224</v>
          </cell>
          <cell r="AB102">
            <v>157</v>
          </cell>
          <cell r="AC102">
            <v>89</v>
          </cell>
        </row>
        <row r="103">
          <cell r="A103" t="str">
            <v>10-16-21</v>
          </cell>
          <cell r="B103">
            <v>435</v>
          </cell>
          <cell r="C103">
            <v>396</v>
          </cell>
          <cell r="D103">
            <v>335</v>
          </cell>
          <cell r="E103">
            <v>290</v>
          </cell>
          <cell r="F103">
            <v>244</v>
          </cell>
          <cell r="G103">
            <v>168</v>
          </cell>
          <cell r="H103">
            <v>91</v>
          </cell>
          <cell r="I103">
            <v>435</v>
          </cell>
          <cell r="J103">
            <v>396</v>
          </cell>
          <cell r="K103">
            <v>335</v>
          </cell>
          <cell r="L103">
            <v>290</v>
          </cell>
          <cell r="M103">
            <v>244</v>
          </cell>
          <cell r="N103">
            <v>168</v>
          </cell>
          <cell r="O103">
            <v>91</v>
          </cell>
          <cell r="P103">
            <v>326</v>
          </cell>
          <cell r="Q103">
            <v>303</v>
          </cell>
          <cell r="R103">
            <v>262</v>
          </cell>
          <cell r="S103">
            <v>231</v>
          </cell>
          <cell r="T103">
            <v>199</v>
          </cell>
          <cell r="U103">
            <v>139</v>
          </cell>
          <cell r="V103">
            <v>79</v>
          </cell>
          <cell r="W103">
            <v>326</v>
          </cell>
          <cell r="X103">
            <v>303</v>
          </cell>
          <cell r="Y103">
            <v>262</v>
          </cell>
          <cell r="Z103">
            <v>231</v>
          </cell>
          <cell r="AA103">
            <v>199</v>
          </cell>
          <cell r="AB103">
            <v>139</v>
          </cell>
          <cell r="AC103">
            <v>79</v>
          </cell>
        </row>
        <row r="104">
          <cell r="A104" t="str">
            <v>11-13-21</v>
          </cell>
          <cell r="B104">
            <v>611</v>
          </cell>
          <cell r="C104">
            <v>546</v>
          </cell>
          <cell r="D104">
            <v>450</v>
          </cell>
          <cell r="E104">
            <v>386</v>
          </cell>
          <cell r="F104">
            <v>321</v>
          </cell>
          <cell r="G104">
            <v>220</v>
          </cell>
          <cell r="H104">
            <v>118</v>
          </cell>
          <cell r="I104">
            <v>611</v>
          </cell>
          <cell r="J104">
            <v>546</v>
          </cell>
          <cell r="K104">
            <v>450</v>
          </cell>
          <cell r="L104">
            <v>386</v>
          </cell>
          <cell r="M104">
            <v>321</v>
          </cell>
          <cell r="N104">
            <v>220</v>
          </cell>
          <cell r="O104">
            <v>118</v>
          </cell>
          <cell r="P104">
            <v>458</v>
          </cell>
          <cell r="Q104">
            <v>418</v>
          </cell>
          <cell r="R104">
            <v>353</v>
          </cell>
          <cell r="S104">
            <v>307</v>
          </cell>
          <cell r="T104">
            <v>261</v>
          </cell>
          <cell r="U104">
            <v>182</v>
          </cell>
          <cell r="V104">
            <v>103</v>
          </cell>
          <cell r="W104">
            <v>458</v>
          </cell>
          <cell r="X104">
            <v>418</v>
          </cell>
          <cell r="Y104">
            <v>353</v>
          </cell>
          <cell r="Z104">
            <v>307</v>
          </cell>
          <cell r="AA104">
            <v>261</v>
          </cell>
          <cell r="AB104">
            <v>182</v>
          </cell>
          <cell r="AC104">
            <v>103</v>
          </cell>
        </row>
        <row r="105">
          <cell r="A105" t="str">
            <v>11-14-21</v>
          </cell>
          <cell r="B105">
            <v>552</v>
          </cell>
          <cell r="C105">
            <v>497</v>
          </cell>
          <cell r="D105">
            <v>412</v>
          </cell>
          <cell r="E105">
            <v>355</v>
          </cell>
          <cell r="F105">
            <v>297</v>
          </cell>
          <cell r="G105">
            <v>204</v>
          </cell>
          <cell r="H105">
            <v>110</v>
          </cell>
          <cell r="I105">
            <v>552</v>
          </cell>
          <cell r="J105">
            <v>497</v>
          </cell>
          <cell r="K105">
            <v>412</v>
          </cell>
          <cell r="L105">
            <v>355</v>
          </cell>
          <cell r="M105">
            <v>297</v>
          </cell>
          <cell r="N105">
            <v>204</v>
          </cell>
          <cell r="O105">
            <v>110</v>
          </cell>
          <cell r="P105">
            <v>414</v>
          </cell>
          <cell r="Q105">
            <v>380</v>
          </cell>
          <cell r="R105">
            <v>323</v>
          </cell>
          <cell r="S105">
            <v>282</v>
          </cell>
          <cell r="T105">
            <v>241</v>
          </cell>
          <cell r="U105">
            <v>169</v>
          </cell>
          <cell r="V105">
            <v>96</v>
          </cell>
          <cell r="W105">
            <v>414</v>
          </cell>
          <cell r="X105">
            <v>380</v>
          </cell>
          <cell r="Y105">
            <v>323</v>
          </cell>
          <cell r="Z105">
            <v>282</v>
          </cell>
          <cell r="AA105">
            <v>241</v>
          </cell>
          <cell r="AB105">
            <v>169</v>
          </cell>
          <cell r="AC105">
            <v>96</v>
          </cell>
        </row>
        <row r="106">
          <cell r="A106" t="str">
            <v>11-15-21</v>
          </cell>
          <cell r="B106">
            <v>493</v>
          </cell>
          <cell r="C106">
            <v>446</v>
          </cell>
          <cell r="D106">
            <v>372</v>
          </cell>
          <cell r="E106">
            <v>322</v>
          </cell>
          <cell r="F106">
            <v>271</v>
          </cell>
          <cell r="G106">
            <v>186</v>
          </cell>
          <cell r="H106">
            <v>101</v>
          </cell>
          <cell r="I106">
            <v>493</v>
          </cell>
          <cell r="J106">
            <v>446</v>
          </cell>
          <cell r="K106">
            <v>372</v>
          </cell>
          <cell r="L106">
            <v>322</v>
          </cell>
          <cell r="M106">
            <v>271</v>
          </cell>
          <cell r="N106">
            <v>186</v>
          </cell>
          <cell r="O106">
            <v>101</v>
          </cell>
          <cell r="P106">
            <v>370</v>
          </cell>
          <cell r="Q106">
            <v>341</v>
          </cell>
          <cell r="R106">
            <v>291</v>
          </cell>
          <cell r="S106">
            <v>256</v>
          </cell>
          <cell r="T106">
            <v>220</v>
          </cell>
          <cell r="U106">
            <v>154</v>
          </cell>
          <cell r="V106">
            <v>88</v>
          </cell>
          <cell r="W106">
            <v>370</v>
          </cell>
          <cell r="X106">
            <v>341</v>
          </cell>
          <cell r="Y106">
            <v>291</v>
          </cell>
          <cell r="Z106">
            <v>256</v>
          </cell>
          <cell r="AA106">
            <v>220</v>
          </cell>
          <cell r="AB106">
            <v>154</v>
          </cell>
          <cell r="AC106">
            <v>88</v>
          </cell>
        </row>
        <row r="107">
          <cell r="A107" t="str">
            <v>11-16-21</v>
          </cell>
          <cell r="B107">
            <v>430</v>
          </cell>
          <cell r="C107">
            <v>392</v>
          </cell>
          <cell r="D107">
            <v>330</v>
          </cell>
          <cell r="E107">
            <v>286</v>
          </cell>
          <cell r="F107">
            <v>242</v>
          </cell>
          <cell r="G107">
            <v>167</v>
          </cell>
          <cell r="H107">
            <v>91</v>
          </cell>
          <cell r="I107">
            <v>430</v>
          </cell>
          <cell r="J107">
            <v>392</v>
          </cell>
          <cell r="K107">
            <v>330</v>
          </cell>
          <cell r="L107">
            <v>286</v>
          </cell>
          <cell r="M107">
            <v>242</v>
          </cell>
          <cell r="N107">
            <v>167</v>
          </cell>
          <cell r="O107">
            <v>91</v>
          </cell>
          <cell r="P107">
            <v>322</v>
          </cell>
          <cell r="Q107">
            <v>300</v>
          </cell>
          <cell r="R107">
            <v>258</v>
          </cell>
          <cell r="S107">
            <v>228</v>
          </cell>
          <cell r="T107">
            <v>197</v>
          </cell>
          <cell r="U107">
            <v>138</v>
          </cell>
          <cell r="V107">
            <v>79</v>
          </cell>
          <cell r="W107">
            <v>322</v>
          </cell>
          <cell r="X107">
            <v>300</v>
          </cell>
          <cell r="Y107">
            <v>258</v>
          </cell>
          <cell r="Z107">
            <v>228</v>
          </cell>
          <cell r="AA107">
            <v>197</v>
          </cell>
          <cell r="AB107">
            <v>138</v>
          </cell>
          <cell r="AC107">
            <v>79</v>
          </cell>
        </row>
        <row r="108">
          <cell r="A108" t="str">
            <v>12-14-21</v>
          </cell>
          <cell r="B108">
            <v>544</v>
          </cell>
          <cell r="C108">
            <v>488</v>
          </cell>
          <cell r="D108">
            <v>405</v>
          </cell>
          <cell r="E108">
            <v>348</v>
          </cell>
          <cell r="F108">
            <v>291</v>
          </cell>
          <cell r="G108">
            <v>199</v>
          </cell>
          <cell r="H108">
            <v>107</v>
          </cell>
          <cell r="I108">
            <v>544</v>
          </cell>
          <cell r="J108">
            <v>488</v>
          </cell>
          <cell r="K108">
            <v>405</v>
          </cell>
          <cell r="L108">
            <v>348</v>
          </cell>
          <cell r="M108">
            <v>291</v>
          </cell>
          <cell r="N108">
            <v>199</v>
          </cell>
          <cell r="O108">
            <v>107</v>
          </cell>
          <cell r="P108">
            <v>407</v>
          </cell>
          <cell r="Q108">
            <v>373</v>
          </cell>
          <cell r="R108">
            <v>317</v>
          </cell>
          <cell r="S108">
            <v>277</v>
          </cell>
          <cell r="T108">
            <v>236</v>
          </cell>
          <cell r="U108">
            <v>165</v>
          </cell>
          <cell r="V108">
            <v>94</v>
          </cell>
          <cell r="W108">
            <v>407</v>
          </cell>
          <cell r="X108">
            <v>373</v>
          </cell>
          <cell r="Y108">
            <v>317</v>
          </cell>
          <cell r="Z108">
            <v>277</v>
          </cell>
          <cell r="AA108">
            <v>236</v>
          </cell>
          <cell r="AB108">
            <v>165</v>
          </cell>
          <cell r="AC108">
            <v>94</v>
          </cell>
        </row>
        <row r="109">
          <cell r="A109" t="str">
            <v>12-15-21</v>
          </cell>
          <cell r="B109">
            <v>484</v>
          </cell>
          <cell r="C109">
            <v>437</v>
          </cell>
          <cell r="D109">
            <v>365</v>
          </cell>
          <cell r="E109">
            <v>315</v>
          </cell>
          <cell r="F109">
            <v>265</v>
          </cell>
          <cell r="G109">
            <v>182</v>
          </cell>
          <cell r="H109">
            <v>99</v>
          </cell>
          <cell r="I109">
            <v>484</v>
          </cell>
          <cell r="J109">
            <v>437</v>
          </cell>
          <cell r="K109">
            <v>365</v>
          </cell>
          <cell r="L109">
            <v>315</v>
          </cell>
          <cell r="M109">
            <v>265</v>
          </cell>
          <cell r="N109">
            <v>182</v>
          </cell>
          <cell r="O109">
            <v>99</v>
          </cell>
          <cell r="P109">
            <v>363</v>
          </cell>
          <cell r="Q109">
            <v>335</v>
          </cell>
          <cell r="R109">
            <v>286</v>
          </cell>
          <cell r="S109">
            <v>251</v>
          </cell>
          <cell r="T109">
            <v>215</v>
          </cell>
          <cell r="U109">
            <v>151</v>
          </cell>
          <cell r="V109">
            <v>86</v>
          </cell>
          <cell r="W109">
            <v>363</v>
          </cell>
          <cell r="X109">
            <v>335</v>
          </cell>
          <cell r="Y109">
            <v>286</v>
          </cell>
          <cell r="Z109">
            <v>251</v>
          </cell>
          <cell r="AA109">
            <v>215</v>
          </cell>
          <cell r="AB109">
            <v>151</v>
          </cell>
          <cell r="AC109">
            <v>86</v>
          </cell>
        </row>
        <row r="110">
          <cell r="A110" t="str">
            <v>12-16-21</v>
          </cell>
          <cell r="B110">
            <v>424</v>
          </cell>
          <cell r="C110">
            <v>385</v>
          </cell>
          <cell r="D110">
            <v>325</v>
          </cell>
          <cell r="E110">
            <v>282</v>
          </cell>
          <cell r="F110">
            <v>238</v>
          </cell>
          <cell r="G110">
            <v>164</v>
          </cell>
          <cell r="H110">
            <v>90</v>
          </cell>
          <cell r="I110">
            <v>424</v>
          </cell>
          <cell r="J110">
            <v>385</v>
          </cell>
          <cell r="K110">
            <v>325</v>
          </cell>
          <cell r="L110">
            <v>282</v>
          </cell>
          <cell r="M110">
            <v>238</v>
          </cell>
          <cell r="N110">
            <v>164</v>
          </cell>
          <cell r="O110">
            <v>90</v>
          </cell>
          <cell r="P110">
            <v>318</v>
          </cell>
          <cell r="Q110">
            <v>295</v>
          </cell>
          <cell r="R110">
            <v>254</v>
          </cell>
          <cell r="S110">
            <v>224</v>
          </cell>
          <cell r="T110">
            <v>194</v>
          </cell>
          <cell r="U110">
            <v>136</v>
          </cell>
          <cell r="V110">
            <v>78</v>
          </cell>
          <cell r="W110">
            <v>318</v>
          </cell>
          <cell r="X110">
            <v>295</v>
          </cell>
          <cell r="Y110">
            <v>254</v>
          </cell>
          <cell r="Z110">
            <v>224</v>
          </cell>
          <cell r="AA110">
            <v>194</v>
          </cell>
          <cell r="AB110">
            <v>136</v>
          </cell>
          <cell r="AC110">
            <v>78</v>
          </cell>
        </row>
        <row r="111">
          <cell r="A111" t="str">
            <v>13-15-21</v>
          </cell>
          <cell r="B111">
            <v>475</v>
          </cell>
          <cell r="C111">
            <v>429</v>
          </cell>
          <cell r="D111">
            <v>358</v>
          </cell>
          <cell r="E111">
            <v>308</v>
          </cell>
          <cell r="F111">
            <v>258</v>
          </cell>
          <cell r="G111">
            <v>178</v>
          </cell>
          <cell r="H111">
            <v>97</v>
          </cell>
          <cell r="I111">
            <v>475</v>
          </cell>
          <cell r="J111">
            <v>429</v>
          </cell>
          <cell r="K111">
            <v>358</v>
          </cell>
          <cell r="L111">
            <v>308</v>
          </cell>
          <cell r="M111">
            <v>258</v>
          </cell>
          <cell r="N111">
            <v>178</v>
          </cell>
          <cell r="O111">
            <v>97</v>
          </cell>
          <cell r="P111">
            <v>356</v>
          </cell>
          <cell r="Q111">
            <v>328</v>
          </cell>
          <cell r="R111">
            <v>280</v>
          </cell>
          <cell r="S111">
            <v>245</v>
          </cell>
          <cell r="T111">
            <v>210</v>
          </cell>
          <cell r="U111">
            <v>147</v>
          </cell>
          <cell r="V111">
            <v>84</v>
          </cell>
          <cell r="W111">
            <v>356</v>
          </cell>
          <cell r="X111">
            <v>328</v>
          </cell>
          <cell r="Y111">
            <v>280</v>
          </cell>
          <cell r="Z111">
            <v>245</v>
          </cell>
          <cell r="AA111">
            <v>210</v>
          </cell>
          <cell r="AB111">
            <v>147</v>
          </cell>
          <cell r="AC111">
            <v>84</v>
          </cell>
        </row>
        <row r="112">
          <cell r="A112" t="str">
            <v>13-16-21</v>
          </cell>
          <cell r="B112">
            <v>415</v>
          </cell>
          <cell r="C112">
            <v>376</v>
          </cell>
          <cell r="D112">
            <v>316</v>
          </cell>
          <cell r="E112">
            <v>274</v>
          </cell>
          <cell r="F112">
            <v>232</v>
          </cell>
          <cell r="G112">
            <v>160</v>
          </cell>
          <cell r="H112">
            <v>87</v>
          </cell>
          <cell r="I112">
            <v>415</v>
          </cell>
          <cell r="J112">
            <v>376</v>
          </cell>
          <cell r="K112">
            <v>316</v>
          </cell>
          <cell r="L112">
            <v>274</v>
          </cell>
          <cell r="M112">
            <v>232</v>
          </cell>
          <cell r="N112">
            <v>160</v>
          </cell>
          <cell r="O112">
            <v>87</v>
          </cell>
          <cell r="P112">
            <v>311</v>
          </cell>
          <cell r="Q112">
            <v>288</v>
          </cell>
          <cell r="R112">
            <v>248</v>
          </cell>
          <cell r="S112">
            <v>218</v>
          </cell>
          <cell r="T112">
            <v>188</v>
          </cell>
          <cell r="U112">
            <v>132</v>
          </cell>
          <cell r="V112">
            <v>76</v>
          </cell>
          <cell r="W112">
            <v>311</v>
          </cell>
          <cell r="X112">
            <v>288</v>
          </cell>
          <cell r="Y112">
            <v>248</v>
          </cell>
          <cell r="Z112">
            <v>218</v>
          </cell>
          <cell r="AA112">
            <v>188</v>
          </cell>
          <cell r="AB112">
            <v>132</v>
          </cell>
          <cell r="AC112">
            <v>76</v>
          </cell>
        </row>
        <row r="113">
          <cell r="A113" t="str">
            <v>14-16-21</v>
          </cell>
          <cell r="B113">
            <v>405</v>
          </cell>
          <cell r="C113">
            <v>367</v>
          </cell>
          <cell r="D113">
            <v>308</v>
          </cell>
          <cell r="E113">
            <v>267</v>
          </cell>
          <cell r="F113">
            <v>226</v>
          </cell>
          <cell r="G113">
            <v>156</v>
          </cell>
          <cell r="H113">
            <v>85</v>
          </cell>
          <cell r="I113">
            <v>405</v>
          </cell>
          <cell r="J113">
            <v>367</v>
          </cell>
          <cell r="K113">
            <v>308</v>
          </cell>
          <cell r="L113">
            <v>267</v>
          </cell>
          <cell r="M113">
            <v>226</v>
          </cell>
          <cell r="N113">
            <v>156</v>
          </cell>
          <cell r="O113">
            <v>85</v>
          </cell>
          <cell r="P113">
            <v>303</v>
          </cell>
          <cell r="Q113">
            <v>281</v>
          </cell>
          <cell r="R113">
            <v>241</v>
          </cell>
          <cell r="S113">
            <v>212</v>
          </cell>
          <cell r="T113">
            <v>183</v>
          </cell>
          <cell r="U113">
            <v>129</v>
          </cell>
          <cell r="V113">
            <v>74</v>
          </cell>
          <cell r="W113">
            <v>303</v>
          </cell>
          <cell r="X113">
            <v>281</v>
          </cell>
          <cell r="Y113">
            <v>241</v>
          </cell>
          <cell r="Z113">
            <v>212</v>
          </cell>
          <cell r="AA113">
            <v>183</v>
          </cell>
          <cell r="AB113">
            <v>129</v>
          </cell>
          <cell r="AC113">
            <v>74</v>
          </cell>
        </row>
        <row r="114">
          <cell r="A114" t="str">
            <v>4-6-22</v>
          </cell>
          <cell r="B114">
            <v>1417</v>
          </cell>
          <cell r="C114">
            <v>1238</v>
          </cell>
          <cell r="D114">
            <v>1005</v>
          </cell>
          <cell r="E114">
            <v>856</v>
          </cell>
          <cell r="F114">
            <v>707</v>
          </cell>
          <cell r="G114">
            <v>489</v>
          </cell>
          <cell r="H114">
            <v>270</v>
          </cell>
          <cell r="I114">
            <v>1067</v>
          </cell>
          <cell r="J114">
            <v>926</v>
          </cell>
          <cell r="K114">
            <v>745</v>
          </cell>
          <cell r="L114">
            <v>632</v>
          </cell>
          <cell r="M114">
            <v>519</v>
          </cell>
          <cell r="N114">
            <v>358</v>
          </cell>
          <cell r="O114">
            <v>196</v>
          </cell>
          <cell r="P114">
            <v>1062</v>
          </cell>
          <cell r="Q114">
            <v>948</v>
          </cell>
          <cell r="R114">
            <v>787</v>
          </cell>
          <cell r="S114">
            <v>681</v>
          </cell>
          <cell r="T114">
            <v>574</v>
          </cell>
          <cell r="U114">
            <v>405</v>
          </cell>
          <cell r="V114">
            <v>236</v>
          </cell>
          <cell r="W114">
            <v>800</v>
          </cell>
          <cell r="X114">
            <v>709</v>
          </cell>
          <cell r="Y114">
            <v>583</v>
          </cell>
          <cell r="Z114">
            <v>502</v>
          </cell>
          <cell r="AA114">
            <v>421</v>
          </cell>
          <cell r="AB114">
            <v>296</v>
          </cell>
          <cell r="AC114">
            <v>171</v>
          </cell>
        </row>
        <row r="115">
          <cell r="A115" t="str">
            <v>4-7-22</v>
          </cell>
          <cell r="B115">
            <v>1300</v>
          </cell>
          <cell r="C115">
            <v>1143</v>
          </cell>
          <cell r="D115">
            <v>932</v>
          </cell>
          <cell r="E115">
            <v>795</v>
          </cell>
          <cell r="F115">
            <v>658</v>
          </cell>
          <cell r="G115">
            <v>455</v>
          </cell>
          <cell r="H115">
            <v>251</v>
          </cell>
          <cell r="I115">
            <v>1015</v>
          </cell>
          <cell r="J115">
            <v>883</v>
          </cell>
          <cell r="K115">
            <v>713</v>
          </cell>
          <cell r="L115">
            <v>606</v>
          </cell>
          <cell r="M115">
            <v>498</v>
          </cell>
          <cell r="N115">
            <v>343</v>
          </cell>
          <cell r="O115">
            <v>187</v>
          </cell>
          <cell r="P115">
            <v>975</v>
          </cell>
          <cell r="Q115">
            <v>875</v>
          </cell>
          <cell r="R115">
            <v>730</v>
          </cell>
          <cell r="S115">
            <v>633</v>
          </cell>
          <cell r="T115">
            <v>535</v>
          </cell>
          <cell r="U115">
            <v>377</v>
          </cell>
          <cell r="V115">
            <v>219</v>
          </cell>
          <cell r="W115">
            <v>761</v>
          </cell>
          <cell r="X115">
            <v>676</v>
          </cell>
          <cell r="Y115">
            <v>558</v>
          </cell>
          <cell r="Z115">
            <v>482</v>
          </cell>
          <cell r="AA115">
            <v>405</v>
          </cell>
          <cell r="AB115">
            <v>284</v>
          </cell>
          <cell r="AC115">
            <v>163</v>
          </cell>
        </row>
        <row r="116">
          <cell r="A116" t="str">
            <v>4-8-22</v>
          </cell>
          <cell r="B116">
            <v>1181</v>
          </cell>
          <cell r="C116">
            <v>1043</v>
          </cell>
          <cell r="D116">
            <v>855</v>
          </cell>
          <cell r="E116">
            <v>731</v>
          </cell>
          <cell r="F116">
            <v>607</v>
          </cell>
          <cell r="G116">
            <v>419</v>
          </cell>
          <cell r="H116">
            <v>231</v>
          </cell>
          <cell r="I116">
            <v>965</v>
          </cell>
          <cell r="J116">
            <v>841</v>
          </cell>
          <cell r="K116">
            <v>680</v>
          </cell>
          <cell r="L116">
            <v>578</v>
          </cell>
          <cell r="M116">
            <v>475</v>
          </cell>
          <cell r="N116">
            <v>327</v>
          </cell>
          <cell r="O116">
            <v>178</v>
          </cell>
          <cell r="P116">
            <v>885</v>
          </cell>
          <cell r="Q116">
            <v>798</v>
          </cell>
          <cell r="R116">
            <v>670</v>
          </cell>
          <cell r="S116">
            <v>582</v>
          </cell>
          <cell r="T116">
            <v>493</v>
          </cell>
          <cell r="U116">
            <v>348</v>
          </cell>
          <cell r="V116">
            <v>202</v>
          </cell>
          <cell r="W116">
            <v>723</v>
          </cell>
          <cell r="X116">
            <v>644</v>
          </cell>
          <cell r="Y116">
            <v>533</v>
          </cell>
          <cell r="Z116">
            <v>460</v>
          </cell>
          <cell r="AA116">
            <v>386</v>
          </cell>
          <cell r="AB116">
            <v>271</v>
          </cell>
          <cell r="AC116">
            <v>155</v>
          </cell>
        </row>
        <row r="117">
          <cell r="A117" t="str">
            <v>4-9-22</v>
          </cell>
          <cell r="B117">
            <v>1066</v>
          </cell>
          <cell r="C117">
            <v>939</v>
          </cell>
          <cell r="D117">
            <v>774</v>
          </cell>
          <cell r="E117">
            <v>664</v>
          </cell>
          <cell r="F117">
            <v>553</v>
          </cell>
          <cell r="G117">
            <v>382</v>
          </cell>
          <cell r="H117">
            <v>210</v>
          </cell>
          <cell r="I117">
            <v>921</v>
          </cell>
          <cell r="J117">
            <v>798</v>
          </cell>
          <cell r="K117">
            <v>646</v>
          </cell>
          <cell r="L117">
            <v>550</v>
          </cell>
          <cell r="M117">
            <v>453</v>
          </cell>
          <cell r="N117">
            <v>311</v>
          </cell>
          <cell r="O117">
            <v>169</v>
          </cell>
          <cell r="P117">
            <v>799</v>
          </cell>
          <cell r="Q117">
            <v>719</v>
          </cell>
          <cell r="R117">
            <v>606</v>
          </cell>
          <cell r="S117">
            <v>528</v>
          </cell>
          <cell r="T117">
            <v>449</v>
          </cell>
          <cell r="U117">
            <v>316</v>
          </cell>
          <cell r="V117">
            <v>183</v>
          </cell>
          <cell r="W117">
            <v>690</v>
          </cell>
          <cell r="X117">
            <v>611</v>
          </cell>
          <cell r="Y117">
            <v>506</v>
          </cell>
          <cell r="Z117">
            <v>437</v>
          </cell>
          <cell r="AA117">
            <v>368</v>
          </cell>
          <cell r="AB117">
            <v>258</v>
          </cell>
          <cell r="AC117">
            <v>147</v>
          </cell>
        </row>
        <row r="118">
          <cell r="A118" t="str">
            <v>4-10-22</v>
          </cell>
          <cell r="B118">
            <v>929</v>
          </cell>
          <cell r="C118">
            <v>822</v>
          </cell>
          <cell r="D118">
            <v>684</v>
          </cell>
          <cell r="E118">
            <v>587</v>
          </cell>
          <cell r="F118">
            <v>490</v>
          </cell>
          <cell r="G118">
            <v>338</v>
          </cell>
          <cell r="H118">
            <v>186</v>
          </cell>
          <cell r="I118">
            <v>865</v>
          </cell>
          <cell r="J118">
            <v>751</v>
          </cell>
          <cell r="K118">
            <v>611</v>
          </cell>
          <cell r="L118">
            <v>520</v>
          </cell>
          <cell r="M118">
            <v>429</v>
          </cell>
          <cell r="N118">
            <v>294</v>
          </cell>
          <cell r="O118">
            <v>159</v>
          </cell>
          <cell r="P118">
            <v>696</v>
          </cell>
          <cell r="Q118">
            <v>629</v>
          </cell>
          <cell r="R118">
            <v>535</v>
          </cell>
          <cell r="S118">
            <v>467</v>
          </cell>
          <cell r="T118">
            <v>398</v>
          </cell>
          <cell r="U118">
            <v>280</v>
          </cell>
          <cell r="V118">
            <v>162</v>
          </cell>
          <cell r="W118">
            <v>648</v>
          </cell>
          <cell r="X118">
            <v>575</v>
          </cell>
          <cell r="Y118">
            <v>478</v>
          </cell>
          <cell r="Z118">
            <v>413</v>
          </cell>
          <cell r="AA118">
            <v>348</v>
          </cell>
          <cell r="AB118">
            <v>244</v>
          </cell>
          <cell r="AC118">
            <v>139</v>
          </cell>
        </row>
        <row r="119">
          <cell r="A119" t="str">
            <v>4-11-22</v>
          </cell>
          <cell r="B119">
            <v>833</v>
          </cell>
          <cell r="C119">
            <v>741</v>
          </cell>
          <cell r="D119">
            <v>597</v>
          </cell>
          <cell r="E119">
            <v>509</v>
          </cell>
          <cell r="F119">
            <v>420</v>
          </cell>
          <cell r="G119">
            <v>288</v>
          </cell>
          <cell r="H119">
            <v>156</v>
          </cell>
          <cell r="I119">
            <v>833</v>
          </cell>
          <cell r="J119">
            <v>741</v>
          </cell>
          <cell r="K119">
            <v>597</v>
          </cell>
          <cell r="L119">
            <v>509</v>
          </cell>
          <cell r="M119">
            <v>420</v>
          </cell>
          <cell r="N119">
            <v>288</v>
          </cell>
          <cell r="O119">
            <v>156</v>
          </cell>
          <cell r="P119">
            <v>625</v>
          </cell>
          <cell r="Q119">
            <v>567</v>
          </cell>
          <cell r="R119">
            <v>468</v>
          </cell>
          <cell r="S119">
            <v>405</v>
          </cell>
          <cell r="T119">
            <v>341</v>
          </cell>
          <cell r="U119">
            <v>239</v>
          </cell>
          <cell r="V119">
            <v>136</v>
          </cell>
          <cell r="W119">
            <v>625</v>
          </cell>
          <cell r="X119">
            <v>567</v>
          </cell>
          <cell r="Y119">
            <v>468</v>
          </cell>
          <cell r="Z119">
            <v>405</v>
          </cell>
          <cell r="AA119">
            <v>341</v>
          </cell>
          <cell r="AB119">
            <v>239</v>
          </cell>
          <cell r="AC119">
            <v>136</v>
          </cell>
        </row>
        <row r="120">
          <cell r="A120" t="str">
            <v>4-12-22</v>
          </cell>
          <cell r="B120">
            <v>777</v>
          </cell>
          <cell r="C120">
            <v>694</v>
          </cell>
          <cell r="D120">
            <v>564</v>
          </cell>
          <cell r="E120">
            <v>480</v>
          </cell>
          <cell r="F120">
            <v>396</v>
          </cell>
          <cell r="G120">
            <v>272</v>
          </cell>
          <cell r="H120">
            <v>147</v>
          </cell>
          <cell r="I120">
            <v>777</v>
          </cell>
          <cell r="J120">
            <v>694</v>
          </cell>
          <cell r="K120">
            <v>564</v>
          </cell>
          <cell r="L120">
            <v>480</v>
          </cell>
          <cell r="M120">
            <v>396</v>
          </cell>
          <cell r="N120">
            <v>272</v>
          </cell>
          <cell r="O120">
            <v>147</v>
          </cell>
          <cell r="P120">
            <v>582</v>
          </cell>
          <cell r="Q120">
            <v>531</v>
          </cell>
          <cell r="R120">
            <v>441</v>
          </cell>
          <cell r="S120">
            <v>382</v>
          </cell>
          <cell r="T120">
            <v>322</v>
          </cell>
          <cell r="U120">
            <v>225</v>
          </cell>
          <cell r="V120">
            <v>128</v>
          </cell>
          <cell r="W120">
            <v>582</v>
          </cell>
          <cell r="X120">
            <v>531</v>
          </cell>
          <cell r="Y120">
            <v>441</v>
          </cell>
          <cell r="Z120">
            <v>382</v>
          </cell>
          <cell r="AA120">
            <v>322</v>
          </cell>
          <cell r="AB120">
            <v>225</v>
          </cell>
          <cell r="AC120">
            <v>128</v>
          </cell>
        </row>
        <row r="121">
          <cell r="A121" t="str">
            <v>5-7-22</v>
          </cell>
          <cell r="B121">
            <v>1298</v>
          </cell>
          <cell r="C121">
            <v>1138</v>
          </cell>
          <cell r="D121">
            <v>927</v>
          </cell>
          <cell r="E121">
            <v>790</v>
          </cell>
          <cell r="F121">
            <v>653</v>
          </cell>
          <cell r="G121">
            <v>451</v>
          </cell>
          <cell r="H121">
            <v>248</v>
          </cell>
          <cell r="I121">
            <v>1016</v>
          </cell>
          <cell r="J121">
            <v>882</v>
          </cell>
          <cell r="K121">
            <v>710</v>
          </cell>
          <cell r="L121">
            <v>603</v>
          </cell>
          <cell r="M121">
            <v>495</v>
          </cell>
          <cell r="N121">
            <v>341</v>
          </cell>
          <cell r="O121">
            <v>186</v>
          </cell>
          <cell r="P121">
            <v>973</v>
          </cell>
          <cell r="Q121">
            <v>871</v>
          </cell>
          <cell r="R121">
            <v>726</v>
          </cell>
          <cell r="S121">
            <v>628</v>
          </cell>
          <cell r="T121">
            <v>530</v>
          </cell>
          <cell r="U121">
            <v>373</v>
          </cell>
          <cell r="V121">
            <v>216</v>
          </cell>
          <cell r="W121">
            <v>762</v>
          </cell>
          <cell r="X121">
            <v>675</v>
          </cell>
          <cell r="Y121">
            <v>556</v>
          </cell>
          <cell r="Z121">
            <v>479</v>
          </cell>
          <cell r="AA121">
            <v>402</v>
          </cell>
          <cell r="AB121">
            <v>282</v>
          </cell>
          <cell r="AC121">
            <v>162</v>
          </cell>
        </row>
        <row r="122">
          <cell r="A122" t="str">
            <v>5-8-22</v>
          </cell>
          <cell r="B122">
            <v>1177</v>
          </cell>
          <cell r="C122">
            <v>1037</v>
          </cell>
          <cell r="D122">
            <v>850</v>
          </cell>
          <cell r="E122">
            <v>726</v>
          </cell>
          <cell r="F122">
            <v>602</v>
          </cell>
          <cell r="G122">
            <v>416</v>
          </cell>
          <cell r="H122">
            <v>229</v>
          </cell>
          <cell r="I122">
            <v>963</v>
          </cell>
          <cell r="J122">
            <v>839</v>
          </cell>
          <cell r="K122">
            <v>678</v>
          </cell>
          <cell r="L122">
            <v>576</v>
          </cell>
          <cell r="M122">
            <v>473</v>
          </cell>
          <cell r="N122">
            <v>325</v>
          </cell>
          <cell r="O122">
            <v>177</v>
          </cell>
          <cell r="P122">
            <v>882</v>
          </cell>
          <cell r="Q122">
            <v>793</v>
          </cell>
          <cell r="R122">
            <v>665</v>
          </cell>
          <cell r="S122">
            <v>577</v>
          </cell>
          <cell r="T122">
            <v>489</v>
          </cell>
          <cell r="U122">
            <v>344</v>
          </cell>
          <cell r="V122">
            <v>199</v>
          </cell>
          <cell r="W122">
            <v>721</v>
          </cell>
          <cell r="X122">
            <v>641</v>
          </cell>
          <cell r="Y122">
            <v>531</v>
          </cell>
          <cell r="Z122">
            <v>458</v>
          </cell>
          <cell r="AA122">
            <v>384</v>
          </cell>
          <cell r="AB122">
            <v>269</v>
          </cell>
          <cell r="AC122">
            <v>153</v>
          </cell>
        </row>
        <row r="123">
          <cell r="A123" t="str">
            <v>5-9-22</v>
          </cell>
          <cell r="B123">
            <v>1060</v>
          </cell>
          <cell r="C123">
            <v>932</v>
          </cell>
          <cell r="D123">
            <v>768</v>
          </cell>
          <cell r="E123">
            <v>658</v>
          </cell>
          <cell r="F123">
            <v>547</v>
          </cell>
          <cell r="G123">
            <v>377</v>
          </cell>
          <cell r="H123">
            <v>207</v>
          </cell>
          <cell r="I123">
            <v>918</v>
          </cell>
          <cell r="J123">
            <v>795</v>
          </cell>
          <cell r="K123">
            <v>644</v>
          </cell>
          <cell r="L123">
            <v>547</v>
          </cell>
          <cell r="M123">
            <v>450</v>
          </cell>
          <cell r="N123">
            <v>309</v>
          </cell>
          <cell r="O123">
            <v>167</v>
          </cell>
          <cell r="P123">
            <v>795</v>
          </cell>
          <cell r="Q123">
            <v>713</v>
          </cell>
          <cell r="R123">
            <v>601</v>
          </cell>
          <cell r="S123">
            <v>523</v>
          </cell>
          <cell r="T123">
            <v>444</v>
          </cell>
          <cell r="U123">
            <v>312</v>
          </cell>
          <cell r="V123">
            <v>180</v>
          </cell>
          <cell r="W123">
            <v>688</v>
          </cell>
          <cell r="X123">
            <v>608</v>
          </cell>
          <cell r="Y123">
            <v>504</v>
          </cell>
          <cell r="Z123">
            <v>435</v>
          </cell>
          <cell r="AA123">
            <v>366</v>
          </cell>
          <cell r="AB123">
            <v>256</v>
          </cell>
          <cell r="AC123">
            <v>145</v>
          </cell>
        </row>
        <row r="124">
          <cell r="A124" t="str">
            <v>5-10-22</v>
          </cell>
          <cell r="B124">
            <v>925</v>
          </cell>
          <cell r="C124">
            <v>821</v>
          </cell>
          <cell r="D124">
            <v>680</v>
          </cell>
          <cell r="E124">
            <v>583</v>
          </cell>
          <cell r="F124">
            <v>486</v>
          </cell>
          <cell r="G124">
            <v>335</v>
          </cell>
          <cell r="H124">
            <v>184</v>
          </cell>
          <cell r="I124">
            <v>862</v>
          </cell>
          <cell r="J124">
            <v>751</v>
          </cell>
          <cell r="K124">
            <v>609</v>
          </cell>
          <cell r="L124">
            <v>518</v>
          </cell>
          <cell r="M124">
            <v>427</v>
          </cell>
          <cell r="N124">
            <v>293</v>
          </cell>
          <cell r="O124">
            <v>158</v>
          </cell>
          <cell r="P124">
            <v>694</v>
          </cell>
          <cell r="Q124">
            <v>628</v>
          </cell>
          <cell r="R124">
            <v>533</v>
          </cell>
          <cell r="S124">
            <v>464</v>
          </cell>
          <cell r="T124">
            <v>395</v>
          </cell>
          <cell r="U124">
            <v>278</v>
          </cell>
          <cell r="V124">
            <v>160</v>
          </cell>
          <cell r="W124">
            <v>647</v>
          </cell>
          <cell r="X124">
            <v>575</v>
          </cell>
          <cell r="Y124">
            <v>478</v>
          </cell>
          <cell r="Z124">
            <v>413</v>
          </cell>
          <cell r="AA124">
            <v>347</v>
          </cell>
          <cell r="AB124">
            <v>243</v>
          </cell>
          <cell r="AC124">
            <v>138</v>
          </cell>
        </row>
        <row r="125">
          <cell r="A125" t="str">
            <v>5-11-22</v>
          </cell>
          <cell r="B125">
            <v>828</v>
          </cell>
          <cell r="C125">
            <v>735</v>
          </cell>
          <cell r="D125">
            <v>592</v>
          </cell>
          <cell r="E125">
            <v>504</v>
          </cell>
          <cell r="F125">
            <v>416</v>
          </cell>
          <cell r="G125">
            <v>285</v>
          </cell>
          <cell r="H125">
            <v>154</v>
          </cell>
          <cell r="I125">
            <v>828</v>
          </cell>
          <cell r="J125">
            <v>735</v>
          </cell>
          <cell r="K125">
            <v>592</v>
          </cell>
          <cell r="L125">
            <v>504</v>
          </cell>
          <cell r="M125">
            <v>416</v>
          </cell>
          <cell r="N125">
            <v>285</v>
          </cell>
          <cell r="O125">
            <v>154</v>
          </cell>
          <cell r="P125">
            <v>621</v>
          </cell>
          <cell r="Q125">
            <v>562</v>
          </cell>
          <cell r="R125">
            <v>464</v>
          </cell>
          <cell r="S125">
            <v>401</v>
          </cell>
          <cell r="T125">
            <v>338</v>
          </cell>
          <cell r="U125">
            <v>236</v>
          </cell>
          <cell r="V125">
            <v>134</v>
          </cell>
          <cell r="W125">
            <v>621</v>
          </cell>
          <cell r="X125">
            <v>562</v>
          </cell>
          <cell r="Y125">
            <v>464</v>
          </cell>
          <cell r="Z125">
            <v>401</v>
          </cell>
          <cell r="AA125">
            <v>338</v>
          </cell>
          <cell r="AB125">
            <v>236</v>
          </cell>
          <cell r="AC125">
            <v>134</v>
          </cell>
        </row>
        <row r="126">
          <cell r="A126" t="str">
            <v>5-12-22</v>
          </cell>
          <cell r="B126">
            <v>773</v>
          </cell>
          <cell r="C126">
            <v>690</v>
          </cell>
          <cell r="D126">
            <v>559</v>
          </cell>
          <cell r="E126">
            <v>477</v>
          </cell>
          <cell r="F126">
            <v>394</v>
          </cell>
          <cell r="G126">
            <v>271</v>
          </cell>
          <cell r="H126">
            <v>147</v>
          </cell>
          <cell r="I126">
            <v>773</v>
          </cell>
          <cell r="J126">
            <v>690</v>
          </cell>
          <cell r="K126">
            <v>559</v>
          </cell>
          <cell r="L126">
            <v>477</v>
          </cell>
          <cell r="M126">
            <v>394</v>
          </cell>
          <cell r="N126">
            <v>271</v>
          </cell>
          <cell r="O126">
            <v>147</v>
          </cell>
          <cell r="P126">
            <v>579</v>
          </cell>
          <cell r="Q126">
            <v>528</v>
          </cell>
          <cell r="R126">
            <v>437</v>
          </cell>
          <cell r="S126">
            <v>379</v>
          </cell>
          <cell r="T126">
            <v>320</v>
          </cell>
          <cell r="U126">
            <v>224</v>
          </cell>
          <cell r="V126">
            <v>128</v>
          </cell>
          <cell r="W126">
            <v>579</v>
          </cell>
          <cell r="X126">
            <v>528</v>
          </cell>
          <cell r="Y126">
            <v>437</v>
          </cell>
          <cell r="Z126">
            <v>379</v>
          </cell>
          <cell r="AA126">
            <v>320</v>
          </cell>
          <cell r="AB126">
            <v>224</v>
          </cell>
          <cell r="AC126">
            <v>128</v>
          </cell>
        </row>
        <row r="127">
          <cell r="A127" t="str">
            <v>5-13-22</v>
          </cell>
          <cell r="B127">
            <v>715</v>
          </cell>
          <cell r="C127">
            <v>640</v>
          </cell>
          <cell r="D127">
            <v>527</v>
          </cell>
          <cell r="E127">
            <v>451</v>
          </cell>
          <cell r="F127">
            <v>374</v>
          </cell>
          <cell r="G127">
            <v>255</v>
          </cell>
          <cell r="H127">
            <v>136</v>
          </cell>
          <cell r="I127">
            <v>715</v>
          </cell>
          <cell r="J127">
            <v>640</v>
          </cell>
          <cell r="K127">
            <v>527</v>
          </cell>
          <cell r="L127">
            <v>451</v>
          </cell>
          <cell r="M127">
            <v>374</v>
          </cell>
          <cell r="N127">
            <v>255</v>
          </cell>
          <cell r="O127">
            <v>136</v>
          </cell>
          <cell r="P127">
            <v>536</v>
          </cell>
          <cell r="Q127">
            <v>489</v>
          </cell>
          <cell r="R127">
            <v>413</v>
          </cell>
          <cell r="S127">
            <v>359</v>
          </cell>
          <cell r="T127">
            <v>304</v>
          </cell>
          <cell r="U127">
            <v>211</v>
          </cell>
          <cell r="V127">
            <v>118</v>
          </cell>
          <cell r="W127">
            <v>536</v>
          </cell>
          <cell r="X127">
            <v>489</v>
          </cell>
          <cell r="Y127">
            <v>413</v>
          </cell>
          <cell r="Z127">
            <v>359</v>
          </cell>
          <cell r="AA127">
            <v>304</v>
          </cell>
          <cell r="AB127">
            <v>211</v>
          </cell>
          <cell r="AC127">
            <v>118</v>
          </cell>
        </row>
        <row r="128">
          <cell r="A128" t="str">
            <v>6-8-22</v>
          </cell>
          <cell r="B128">
            <v>1172</v>
          </cell>
          <cell r="C128">
            <v>1032</v>
          </cell>
          <cell r="D128">
            <v>843</v>
          </cell>
          <cell r="E128">
            <v>719</v>
          </cell>
          <cell r="F128">
            <v>595</v>
          </cell>
          <cell r="G128">
            <v>410</v>
          </cell>
          <cell r="H128">
            <v>225</v>
          </cell>
          <cell r="I128">
            <v>961</v>
          </cell>
          <cell r="J128">
            <v>836</v>
          </cell>
          <cell r="K128">
            <v>675</v>
          </cell>
          <cell r="L128">
            <v>573</v>
          </cell>
          <cell r="M128">
            <v>470</v>
          </cell>
          <cell r="N128">
            <v>323</v>
          </cell>
          <cell r="O128">
            <v>176</v>
          </cell>
          <cell r="P128">
            <v>879</v>
          </cell>
          <cell r="Q128">
            <v>790</v>
          </cell>
          <cell r="R128">
            <v>660</v>
          </cell>
          <cell r="S128">
            <v>572</v>
          </cell>
          <cell r="T128">
            <v>484</v>
          </cell>
          <cell r="U128">
            <v>340</v>
          </cell>
          <cell r="V128">
            <v>196</v>
          </cell>
          <cell r="W128">
            <v>721</v>
          </cell>
          <cell r="X128">
            <v>640</v>
          </cell>
          <cell r="Y128">
            <v>529</v>
          </cell>
          <cell r="Z128">
            <v>456</v>
          </cell>
          <cell r="AA128">
            <v>382</v>
          </cell>
          <cell r="AB128">
            <v>268</v>
          </cell>
          <cell r="AC128">
            <v>153</v>
          </cell>
        </row>
        <row r="129">
          <cell r="A129" t="str">
            <v>6-9-22</v>
          </cell>
          <cell r="B129">
            <v>1055</v>
          </cell>
          <cell r="C129">
            <v>926</v>
          </cell>
          <cell r="D129">
            <v>762</v>
          </cell>
          <cell r="E129">
            <v>652</v>
          </cell>
          <cell r="F129">
            <v>542</v>
          </cell>
          <cell r="G129">
            <v>373</v>
          </cell>
          <cell r="H129">
            <v>204</v>
          </cell>
          <cell r="I129">
            <v>916</v>
          </cell>
          <cell r="J129">
            <v>792</v>
          </cell>
          <cell r="K129">
            <v>641</v>
          </cell>
          <cell r="L129">
            <v>545</v>
          </cell>
          <cell r="M129">
            <v>449</v>
          </cell>
          <cell r="N129">
            <v>308</v>
          </cell>
          <cell r="O129">
            <v>167</v>
          </cell>
          <cell r="P129">
            <v>791</v>
          </cell>
          <cell r="Q129">
            <v>709</v>
          </cell>
          <cell r="R129">
            <v>596</v>
          </cell>
          <cell r="S129">
            <v>518</v>
          </cell>
          <cell r="T129">
            <v>440</v>
          </cell>
          <cell r="U129">
            <v>309</v>
          </cell>
          <cell r="V129">
            <v>178</v>
          </cell>
          <cell r="W129">
            <v>687</v>
          </cell>
          <cell r="X129">
            <v>606</v>
          </cell>
          <cell r="Y129">
            <v>502</v>
          </cell>
          <cell r="Z129">
            <v>434</v>
          </cell>
          <cell r="AA129">
            <v>365</v>
          </cell>
          <cell r="AB129">
            <v>255</v>
          </cell>
          <cell r="AC129">
            <v>145</v>
          </cell>
        </row>
        <row r="130">
          <cell r="A130" t="str">
            <v>6-10-22</v>
          </cell>
          <cell r="B130">
            <v>922</v>
          </cell>
          <cell r="C130">
            <v>816</v>
          </cell>
          <cell r="D130">
            <v>675</v>
          </cell>
          <cell r="E130">
            <v>580</v>
          </cell>
          <cell r="F130">
            <v>484</v>
          </cell>
          <cell r="G130">
            <v>334</v>
          </cell>
          <cell r="H130">
            <v>183</v>
          </cell>
          <cell r="I130">
            <v>862</v>
          </cell>
          <cell r="J130">
            <v>749</v>
          </cell>
          <cell r="K130">
            <v>608</v>
          </cell>
          <cell r="L130">
            <v>517</v>
          </cell>
          <cell r="M130">
            <v>426</v>
          </cell>
          <cell r="N130">
            <v>292</v>
          </cell>
          <cell r="O130">
            <v>157</v>
          </cell>
          <cell r="P130">
            <v>691</v>
          </cell>
          <cell r="Q130">
            <v>624</v>
          </cell>
          <cell r="R130">
            <v>529</v>
          </cell>
          <cell r="S130">
            <v>461</v>
          </cell>
          <cell r="T130">
            <v>393</v>
          </cell>
          <cell r="U130">
            <v>277</v>
          </cell>
          <cell r="V130">
            <v>160</v>
          </cell>
          <cell r="W130">
            <v>646</v>
          </cell>
          <cell r="X130">
            <v>573</v>
          </cell>
          <cell r="Y130">
            <v>477</v>
          </cell>
          <cell r="Z130">
            <v>412</v>
          </cell>
          <cell r="AA130">
            <v>346</v>
          </cell>
          <cell r="AB130">
            <v>242</v>
          </cell>
          <cell r="AC130">
            <v>137</v>
          </cell>
        </row>
        <row r="131">
          <cell r="A131" t="str">
            <v>6-11-22</v>
          </cell>
          <cell r="B131">
            <v>821</v>
          </cell>
          <cell r="C131">
            <v>730</v>
          </cell>
          <cell r="D131">
            <v>588</v>
          </cell>
          <cell r="E131">
            <v>490</v>
          </cell>
          <cell r="F131">
            <v>392</v>
          </cell>
          <cell r="G131">
            <v>272</v>
          </cell>
          <cell r="H131">
            <v>152</v>
          </cell>
          <cell r="I131">
            <v>821</v>
          </cell>
          <cell r="J131">
            <v>730</v>
          </cell>
          <cell r="K131">
            <v>588</v>
          </cell>
          <cell r="L131">
            <v>490</v>
          </cell>
          <cell r="M131">
            <v>392</v>
          </cell>
          <cell r="N131">
            <v>272</v>
          </cell>
          <cell r="O131">
            <v>152</v>
          </cell>
          <cell r="P131">
            <v>616</v>
          </cell>
          <cell r="Q131">
            <v>558</v>
          </cell>
          <cell r="R131">
            <v>460</v>
          </cell>
          <cell r="S131">
            <v>390</v>
          </cell>
          <cell r="T131">
            <v>319</v>
          </cell>
          <cell r="U131">
            <v>226</v>
          </cell>
          <cell r="V131">
            <v>133</v>
          </cell>
          <cell r="W131">
            <v>616</v>
          </cell>
          <cell r="X131">
            <v>558</v>
          </cell>
          <cell r="Y131">
            <v>460</v>
          </cell>
          <cell r="Z131">
            <v>390</v>
          </cell>
          <cell r="AA131">
            <v>319</v>
          </cell>
          <cell r="AB131">
            <v>226</v>
          </cell>
          <cell r="AC131">
            <v>133</v>
          </cell>
        </row>
        <row r="132">
          <cell r="A132" t="str">
            <v>6-12-22</v>
          </cell>
          <cell r="B132">
            <v>768</v>
          </cell>
          <cell r="C132">
            <v>684</v>
          </cell>
          <cell r="D132">
            <v>554</v>
          </cell>
          <cell r="E132">
            <v>472</v>
          </cell>
          <cell r="F132">
            <v>390</v>
          </cell>
          <cell r="G132">
            <v>267</v>
          </cell>
          <cell r="H132">
            <v>144</v>
          </cell>
          <cell r="I132">
            <v>768</v>
          </cell>
          <cell r="J132">
            <v>684</v>
          </cell>
          <cell r="K132">
            <v>554</v>
          </cell>
          <cell r="L132">
            <v>472</v>
          </cell>
          <cell r="M132">
            <v>390</v>
          </cell>
          <cell r="N132">
            <v>267</v>
          </cell>
          <cell r="O132">
            <v>144</v>
          </cell>
          <cell r="P132">
            <v>575</v>
          </cell>
          <cell r="Q132">
            <v>523</v>
          </cell>
          <cell r="R132">
            <v>434</v>
          </cell>
          <cell r="S132">
            <v>376</v>
          </cell>
          <cell r="T132">
            <v>317</v>
          </cell>
          <cell r="U132">
            <v>221</v>
          </cell>
          <cell r="V132">
            <v>125</v>
          </cell>
          <cell r="W132">
            <v>575</v>
          </cell>
          <cell r="X132">
            <v>523</v>
          </cell>
          <cell r="Y132">
            <v>434</v>
          </cell>
          <cell r="Z132">
            <v>376</v>
          </cell>
          <cell r="AA132">
            <v>317</v>
          </cell>
          <cell r="AB132">
            <v>221</v>
          </cell>
          <cell r="AC132">
            <v>125</v>
          </cell>
        </row>
        <row r="133">
          <cell r="A133" t="str">
            <v>6-13-22</v>
          </cell>
          <cell r="B133">
            <v>711</v>
          </cell>
          <cell r="C133">
            <v>636</v>
          </cell>
          <cell r="D133">
            <v>525</v>
          </cell>
          <cell r="E133">
            <v>446</v>
          </cell>
          <cell r="F133">
            <v>367</v>
          </cell>
          <cell r="G133">
            <v>252</v>
          </cell>
          <cell r="H133">
            <v>137</v>
          </cell>
          <cell r="I133">
            <v>711</v>
          </cell>
          <cell r="J133">
            <v>636</v>
          </cell>
          <cell r="K133">
            <v>525</v>
          </cell>
          <cell r="L133">
            <v>446</v>
          </cell>
          <cell r="M133">
            <v>367</v>
          </cell>
          <cell r="N133">
            <v>252</v>
          </cell>
          <cell r="O133">
            <v>137</v>
          </cell>
          <cell r="P133">
            <v>533</v>
          </cell>
          <cell r="Q133">
            <v>487</v>
          </cell>
          <cell r="R133">
            <v>411</v>
          </cell>
          <cell r="S133">
            <v>355</v>
          </cell>
          <cell r="T133">
            <v>298</v>
          </cell>
          <cell r="U133">
            <v>209</v>
          </cell>
          <cell r="V133">
            <v>119</v>
          </cell>
          <cell r="W133">
            <v>533</v>
          </cell>
          <cell r="X133">
            <v>487</v>
          </cell>
          <cell r="Y133">
            <v>411</v>
          </cell>
          <cell r="Z133">
            <v>355</v>
          </cell>
          <cell r="AA133">
            <v>298</v>
          </cell>
          <cell r="AB133">
            <v>209</v>
          </cell>
          <cell r="AC133">
            <v>119</v>
          </cell>
        </row>
        <row r="134">
          <cell r="A134" t="str">
            <v>6-14-22</v>
          </cell>
          <cell r="B134">
            <v>651</v>
          </cell>
          <cell r="C134">
            <v>585</v>
          </cell>
          <cell r="D134">
            <v>483</v>
          </cell>
          <cell r="E134">
            <v>414</v>
          </cell>
          <cell r="F134">
            <v>345</v>
          </cell>
          <cell r="G134">
            <v>235</v>
          </cell>
          <cell r="H134">
            <v>125</v>
          </cell>
          <cell r="I134">
            <v>651</v>
          </cell>
          <cell r="J134">
            <v>585</v>
          </cell>
          <cell r="K134">
            <v>483</v>
          </cell>
          <cell r="L134">
            <v>414</v>
          </cell>
          <cell r="M134">
            <v>345</v>
          </cell>
          <cell r="N134">
            <v>235</v>
          </cell>
          <cell r="O134">
            <v>125</v>
          </cell>
          <cell r="P134">
            <v>488</v>
          </cell>
          <cell r="Q134">
            <v>447</v>
          </cell>
          <cell r="R134">
            <v>378</v>
          </cell>
          <cell r="S134">
            <v>329</v>
          </cell>
          <cell r="T134">
            <v>280</v>
          </cell>
          <cell r="U134">
            <v>195</v>
          </cell>
          <cell r="V134">
            <v>109</v>
          </cell>
          <cell r="W134">
            <v>488</v>
          </cell>
          <cell r="X134">
            <v>447</v>
          </cell>
          <cell r="Y134">
            <v>378</v>
          </cell>
          <cell r="Z134">
            <v>329</v>
          </cell>
          <cell r="AA134">
            <v>280</v>
          </cell>
          <cell r="AB134">
            <v>195</v>
          </cell>
          <cell r="AC134">
            <v>109</v>
          </cell>
        </row>
        <row r="135">
          <cell r="A135" t="str">
            <v>7-9-22</v>
          </cell>
          <cell r="B135">
            <v>1049</v>
          </cell>
          <cell r="C135">
            <v>920</v>
          </cell>
          <cell r="D135">
            <v>754</v>
          </cell>
          <cell r="E135">
            <v>644</v>
          </cell>
          <cell r="F135">
            <v>534</v>
          </cell>
          <cell r="G135">
            <v>368</v>
          </cell>
          <cell r="H135">
            <v>201</v>
          </cell>
          <cell r="I135">
            <v>913</v>
          </cell>
          <cell r="J135">
            <v>790</v>
          </cell>
          <cell r="K135">
            <v>638</v>
          </cell>
          <cell r="L135">
            <v>542</v>
          </cell>
          <cell r="M135">
            <v>445</v>
          </cell>
          <cell r="N135">
            <v>305</v>
          </cell>
          <cell r="O135">
            <v>165</v>
          </cell>
          <cell r="P135">
            <v>787</v>
          </cell>
          <cell r="Q135">
            <v>704</v>
          </cell>
          <cell r="R135">
            <v>591</v>
          </cell>
          <cell r="S135">
            <v>513</v>
          </cell>
          <cell r="T135">
            <v>434</v>
          </cell>
          <cell r="U135">
            <v>305</v>
          </cell>
          <cell r="V135">
            <v>175</v>
          </cell>
          <cell r="W135">
            <v>685</v>
          </cell>
          <cell r="X135">
            <v>605</v>
          </cell>
          <cell r="Y135">
            <v>500</v>
          </cell>
          <cell r="Z135">
            <v>431</v>
          </cell>
          <cell r="AA135">
            <v>362</v>
          </cell>
          <cell r="AB135">
            <v>253</v>
          </cell>
          <cell r="AC135">
            <v>144</v>
          </cell>
        </row>
        <row r="136">
          <cell r="A136" t="str">
            <v>7-10-22</v>
          </cell>
          <cell r="B136">
            <v>916</v>
          </cell>
          <cell r="C136">
            <v>808</v>
          </cell>
          <cell r="D136">
            <v>668</v>
          </cell>
          <cell r="E136">
            <v>572</v>
          </cell>
          <cell r="F136">
            <v>476</v>
          </cell>
          <cell r="G136">
            <v>328</v>
          </cell>
          <cell r="H136">
            <v>180</v>
          </cell>
          <cell r="I136">
            <v>859</v>
          </cell>
          <cell r="J136">
            <v>746</v>
          </cell>
          <cell r="K136">
            <v>605</v>
          </cell>
          <cell r="L136">
            <v>514</v>
          </cell>
          <cell r="M136">
            <v>423</v>
          </cell>
          <cell r="N136">
            <v>290</v>
          </cell>
          <cell r="O136">
            <v>156</v>
          </cell>
          <cell r="P136">
            <v>687</v>
          </cell>
          <cell r="Q136">
            <v>618</v>
          </cell>
          <cell r="R136">
            <v>523</v>
          </cell>
          <cell r="S136">
            <v>455</v>
          </cell>
          <cell r="T136">
            <v>387</v>
          </cell>
          <cell r="U136">
            <v>272</v>
          </cell>
          <cell r="V136">
            <v>157</v>
          </cell>
          <cell r="W136">
            <v>644</v>
          </cell>
          <cell r="X136">
            <v>571</v>
          </cell>
          <cell r="Y136">
            <v>473</v>
          </cell>
          <cell r="Z136">
            <v>409</v>
          </cell>
          <cell r="AA136">
            <v>344</v>
          </cell>
          <cell r="AB136">
            <v>240</v>
          </cell>
          <cell r="AC136">
            <v>136</v>
          </cell>
        </row>
        <row r="137">
          <cell r="A137" t="str">
            <v>7-11-22</v>
          </cell>
          <cell r="B137">
            <v>815</v>
          </cell>
          <cell r="C137">
            <v>722</v>
          </cell>
          <cell r="D137">
            <v>582</v>
          </cell>
          <cell r="E137">
            <v>497</v>
          </cell>
          <cell r="F137">
            <v>411</v>
          </cell>
          <cell r="G137">
            <v>284</v>
          </cell>
          <cell r="H137">
            <v>156</v>
          </cell>
          <cell r="I137">
            <v>815</v>
          </cell>
          <cell r="J137">
            <v>722</v>
          </cell>
          <cell r="K137">
            <v>582</v>
          </cell>
          <cell r="L137">
            <v>488</v>
          </cell>
          <cell r="M137">
            <v>393</v>
          </cell>
          <cell r="N137">
            <v>270</v>
          </cell>
          <cell r="O137">
            <v>147</v>
          </cell>
          <cell r="P137">
            <v>611</v>
          </cell>
          <cell r="Q137">
            <v>553</v>
          </cell>
          <cell r="R137">
            <v>455</v>
          </cell>
          <cell r="S137">
            <v>395</v>
          </cell>
          <cell r="T137">
            <v>334</v>
          </cell>
          <cell r="U137">
            <v>235</v>
          </cell>
          <cell r="V137">
            <v>136</v>
          </cell>
          <cell r="W137">
            <v>611</v>
          </cell>
          <cell r="X137">
            <v>553</v>
          </cell>
          <cell r="Y137">
            <v>455</v>
          </cell>
          <cell r="Z137">
            <v>388</v>
          </cell>
          <cell r="AA137">
            <v>320</v>
          </cell>
          <cell r="AB137">
            <v>224</v>
          </cell>
          <cell r="AC137">
            <v>128</v>
          </cell>
        </row>
        <row r="138">
          <cell r="A138" t="str">
            <v>7-12-22</v>
          </cell>
          <cell r="B138">
            <v>761</v>
          </cell>
          <cell r="C138">
            <v>677</v>
          </cell>
          <cell r="D138">
            <v>549</v>
          </cell>
          <cell r="E138">
            <v>468</v>
          </cell>
          <cell r="F138">
            <v>386</v>
          </cell>
          <cell r="G138">
            <v>264</v>
          </cell>
          <cell r="H138">
            <v>142</v>
          </cell>
          <cell r="I138">
            <v>761</v>
          </cell>
          <cell r="J138">
            <v>677</v>
          </cell>
          <cell r="K138">
            <v>549</v>
          </cell>
          <cell r="L138">
            <v>468</v>
          </cell>
          <cell r="M138">
            <v>386</v>
          </cell>
          <cell r="N138">
            <v>264</v>
          </cell>
          <cell r="O138">
            <v>142</v>
          </cell>
          <cell r="P138">
            <v>570</v>
          </cell>
          <cell r="Q138">
            <v>518</v>
          </cell>
          <cell r="R138">
            <v>430</v>
          </cell>
          <cell r="S138">
            <v>372</v>
          </cell>
          <cell r="T138">
            <v>314</v>
          </cell>
          <cell r="U138">
            <v>219</v>
          </cell>
          <cell r="V138">
            <v>124</v>
          </cell>
          <cell r="W138">
            <v>570</v>
          </cell>
          <cell r="X138">
            <v>518</v>
          </cell>
          <cell r="Y138">
            <v>430</v>
          </cell>
          <cell r="Z138">
            <v>372</v>
          </cell>
          <cell r="AA138">
            <v>314</v>
          </cell>
          <cell r="AB138">
            <v>219</v>
          </cell>
          <cell r="AC138">
            <v>124</v>
          </cell>
        </row>
        <row r="139">
          <cell r="A139" t="str">
            <v>7-13-22</v>
          </cell>
          <cell r="B139">
            <v>705</v>
          </cell>
          <cell r="C139">
            <v>630</v>
          </cell>
          <cell r="D139">
            <v>520</v>
          </cell>
          <cell r="E139">
            <v>442</v>
          </cell>
          <cell r="F139">
            <v>364</v>
          </cell>
          <cell r="G139">
            <v>250</v>
          </cell>
          <cell r="H139">
            <v>136</v>
          </cell>
          <cell r="I139">
            <v>705</v>
          </cell>
          <cell r="J139">
            <v>630</v>
          </cell>
          <cell r="K139">
            <v>520</v>
          </cell>
          <cell r="L139">
            <v>442</v>
          </cell>
          <cell r="M139">
            <v>364</v>
          </cell>
          <cell r="N139">
            <v>250</v>
          </cell>
          <cell r="O139">
            <v>136</v>
          </cell>
          <cell r="P139">
            <v>529</v>
          </cell>
          <cell r="Q139">
            <v>482</v>
          </cell>
          <cell r="R139">
            <v>407</v>
          </cell>
          <cell r="S139">
            <v>351</v>
          </cell>
          <cell r="T139">
            <v>295</v>
          </cell>
          <cell r="U139">
            <v>207</v>
          </cell>
          <cell r="V139">
            <v>118</v>
          </cell>
          <cell r="W139">
            <v>529</v>
          </cell>
          <cell r="X139">
            <v>482</v>
          </cell>
          <cell r="Y139">
            <v>407</v>
          </cell>
          <cell r="Z139">
            <v>351</v>
          </cell>
          <cell r="AA139">
            <v>295</v>
          </cell>
          <cell r="AB139">
            <v>207</v>
          </cell>
          <cell r="AC139">
            <v>118</v>
          </cell>
        </row>
        <row r="140">
          <cell r="A140" t="str">
            <v>7-14-22</v>
          </cell>
          <cell r="B140">
            <v>647</v>
          </cell>
          <cell r="C140">
            <v>581</v>
          </cell>
          <cell r="D140">
            <v>481</v>
          </cell>
          <cell r="E140">
            <v>412</v>
          </cell>
          <cell r="F140">
            <v>343</v>
          </cell>
          <cell r="G140">
            <v>234</v>
          </cell>
          <cell r="H140">
            <v>125</v>
          </cell>
          <cell r="I140">
            <v>647</v>
          </cell>
          <cell r="J140">
            <v>581</v>
          </cell>
          <cell r="K140">
            <v>481</v>
          </cell>
          <cell r="L140">
            <v>412</v>
          </cell>
          <cell r="M140">
            <v>343</v>
          </cell>
          <cell r="N140">
            <v>234</v>
          </cell>
          <cell r="O140">
            <v>125</v>
          </cell>
          <cell r="P140">
            <v>485</v>
          </cell>
          <cell r="Q140">
            <v>445</v>
          </cell>
          <cell r="R140">
            <v>376</v>
          </cell>
          <cell r="S140">
            <v>328</v>
          </cell>
          <cell r="T140">
            <v>279</v>
          </cell>
          <cell r="U140">
            <v>194</v>
          </cell>
          <cell r="V140">
            <v>109</v>
          </cell>
          <cell r="W140">
            <v>485</v>
          </cell>
          <cell r="X140">
            <v>445</v>
          </cell>
          <cell r="Y140">
            <v>376</v>
          </cell>
          <cell r="Z140">
            <v>328</v>
          </cell>
          <cell r="AA140">
            <v>279</v>
          </cell>
          <cell r="AB140">
            <v>194</v>
          </cell>
          <cell r="AC140">
            <v>109</v>
          </cell>
        </row>
        <row r="141">
          <cell r="A141" t="str">
            <v>7-15-22</v>
          </cell>
          <cell r="B141">
            <v>584</v>
          </cell>
          <cell r="C141">
            <v>526</v>
          </cell>
          <cell r="D141">
            <v>438</v>
          </cell>
          <cell r="E141">
            <v>376</v>
          </cell>
          <cell r="F141">
            <v>313</v>
          </cell>
          <cell r="G141">
            <v>213</v>
          </cell>
          <cell r="H141">
            <v>113</v>
          </cell>
          <cell r="I141">
            <v>584</v>
          </cell>
          <cell r="J141">
            <v>526</v>
          </cell>
          <cell r="K141">
            <v>438</v>
          </cell>
          <cell r="L141">
            <v>376</v>
          </cell>
          <cell r="M141">
            <v>313</v>
          </cell>
          <cell r="N141">
            <v>213</v>
          </cell>
          <cell r="O141">
            <v>113</v>
          </cell>
          <cell r="P141">
            <v>438</v>
          </cell>
          <cell r="Q141">
            <v>403</v>
          </cell>
          <cell r="R141">
            <v>343</v>
          </cell>
          <cell r="S141">
            <v>299</v>
          </cell>
          <cell r="T141">
            <v>255</v>
          </cell>
          <cell r="U141">
            <v>177</v>
          </cell>
          <cell r="V141">
            <v>99</v>
          </cell>
          <cell r="W141">
            <v>438</v>
          </cell>
          <cell r="X141">
            <v>403</v>
          </cell>
          <cell r="Y141">
            <v>343</v>
          </cell>
          <cell r="Z141">
            <v>299</v>
          </cell>
          <cell r="AA141">
            <v>255</v>
          </cell>
          <cell r="AB141">
            <v>177</v>
          </cell>
          <cell r="AC141">
            <v>99</v>
          </cell>
        </row>
        <row r="142">
          <cell r="A142" t="str">
            <v>8-10-22</v>
          </cell>
          <cell r="B142">
            <v>909</v>
          </cell>
          <cell r="C142">
            <v>801</v>
          </cell>
          <cell r="D142">
            <v>661</v>
          </cell>
          <cell r="E142">
            <v>566</v>
          </cell>
          <cell r="F142">
            <v>470</v>
          </cell>
          <cell r="G142">
            <v>323</v>
          </cell>
          <cell r="H142">
            <v>176</v>
          </cell>
          <cell r="I142">
            <v>857</v>
          </cell>
          <cell r="J142">
            <v>743</v>
          </cell>
          <cell r="K142">
            <v>603</v>
          </cell>
          <cell r="L142">
            <v>512</v>
          </cell>
          <cell r="M142">
            <v>421</v>
          </cell>
          <cell r="N142">
            <v>288</v>
          </cell>
          <cell r="O142">
            <v>155</v>
          </cell>
          <cell r="P142">
            <v>681</v>
          </cell>
          <cell r="Q142">
            <v>613</v>
          </cell>
          <cell r="R142">
            <v>517</v>
          </cell>
          <cell r="S142">
            <v>450</v>
          </cell>
          <cell r="T142">
            <v>382</v>
          </cell>
          <cell r="U142">
            <v>268</v>
          </cell>
          <cell r="V142">
            <v>153</v>
          </cell>
          <cell r="W142">
            <v>642</v>
          </cell>
          <cell r="X142">
            <v>569</v>
          </cell>
          <cell r="Y142">
            <v>471</v>
          </cell>
          <cell r="Z142">
            <v>407</v>
          </cell>
          <cell r="AA142">
            <v>342</v>
          </cell>
          <cell r="AB142">
            <v>239</v>
          </cell>
          <cell r="AC142">
            <v>135</v>
          </cell>
        </row>
        <row r="143">
          <cell r="A143" t="str">
            <v>8-11-22</v>
          </cell>
          <cell r="B143">
            <v>809</v>
          </cell>
          <cell r="C143">
            <v>717</v>
          </cell>
          <cell r="D143">
            <v>577</v>
          </cell>
          <cell r="E143">
            <v>493</v>
          </cell>
          <cell r="F143">
            <v>409</v>
          </cell>
          <cell r="G143">
            <v>282</v>
          </cell>
          <cell r="H143">
            <v>154</v>
          </cell>
          <cell r="I143">
            <v>809</v>
          </cell>
          <cell r="J143">
            <v>717</v>
          </cell>
          <cell r="K143">
            <v>577</v>
          </cell>
          <cell r="L143">
            <v>488</v>
          </cell>
          <cell r="M143">
            <v>399</v>
          </cell>
          <cell r="N143">
            <v>273</v>
          </cell>
          <cell r="O143">
            <v>146</v>
          </cell>
          <cell r="P143">
            <v>606</v>
          </cell>
          <cell r="Q143">
            <v>549</v>
          </cell>
          <cell r="R143">
            <v>452</v>
          </cell>
          <cell r="S143">
            <v>392</v>
          </cell>
          <cell r="T143">
            <v>332</v>
          </cell>
          <cell r="U143">
            <v>233</v>
          </cell>
          <cell r="V143">
            <v>134</v>
          </cell>
          <cell r="W143">
            <v>606</v>
          </cell>
          <cell r="X143">
            <v>549</v>
          </cell>
          <cell r="Y143">
            <v>452</v>
          </cell>
          <cell r="Z143">
            <v>388</v>
          </cell>
          <cell r="AA143">
            <v>324</v>
          </cell>
          <cell r="AB143">
            <v>226</v>
          </cell>
          <cell r="AC143">
            <v>127</v>
          </cell>
        </row>
        <row r="144">
          <cell r="A144" t="str">
            <v>8-12-22</v>
          </cell>
          <cell r="B144">
            <v>754</v>
          </cell>
          <cell r="C144">
            <v>670</v>
          </cell>
          <cell r="D144">
            <v>543</v>
          </cell>
          <cell r="E144">
            <v>463</v>
          </cell>
          <cell r="F144">
            <v>382</v>
          </cell>
          <cell r="G144">
            <v>262</v>
          </cell>
          <cell r="H144">
            <v>141</v>
          </cell>
          <cell r="I144">
            <v>754</v>
          </cell>
          <cell r="J144">
            <v>670</v>
          </cell>
          <cell r="K144">
            <v>543</v>
          </cell>
          <cell r="L144">
            <v>463</v>
          </cell>
          <cell r="M144">
            <v>382</v>
          </cell>
          <cell r="N144">
            <v>262</v>
          </cell>
          <cell r="O144">
            <v>141</v>
          </cell>
          <cell r="P144">
            <v>565</v>
          </cell>
          <cell r="Q144">
            <v>513</v>
          </cell>
          <cell r="R144">
            <v>425</v>
          </cell>
          <cell r="S144">
            <v>368</v>
          </cell>
          <cell r="T144">
            <v>311</v>
          </cell>
          <cell r="U144">
            <v>217</v>
          </cell>
          <cell r="V144">
            <v>122</v>
          </cell>
          <cell r="W144">
            <v>565</v>
          </cell>
          <cell r="X144">
            <v>513</v>
          </cell>
          <cell r="Y144">
            <v>425</v>
          </cell>
          <cell r="Z144">
            <v>368</v>
          </cell>
          <cell r="AA144">
            <v>311</v>
          </cell>
          <cell r="AB144">
            <v>217</v>
          </cell>
          <cell r="AC144">
            <v>122</v>
          </cell>
        </row>
        <row r="145">
          <cell r="A145" t="str">
            <v>8-13-22</v>
          </cell>
          <cell r="B145">
            <v>699</v>
          </cell>
          <cell r="C145">
            <v>623</v>
          </cell>
          <cell r="D145">
            <v>513</v>
          </cell>
          <cell r="E145">
            <v>437</v>
          </cell>
          <cell r="F145">
            <v>360</v>
          </cell>
          <cell r="G145">
            <v>247</v>
          </cell>
          <cell r="H145">
            <v>134</v>
          </cell>
          <cell r="I145">
            <v>699</v>
          </cell>
          <cell r="J145">
            <v>623</v>
          </cell>
          <cell r="K145">
            <v>513</v>
          </cell>
          <cell r="L145">
            <v>437</v>
          </cell>
          <cell r="M145">
            <v>360</v>
          </cell>
          <cell r="N145">
            <v>247</v>
          </cell>
          <cell r="O145">
            <v>134</v>
          </cell>
          <cell r="P145">
            <v>524</v>
          </cell>
          <cell r="Q145">
            <v>477</v>
          </cell>
          <cell r="R145">
            <v>402</v>
          </cell>
          <cell r="S145">
            <v>347</v>
          </cell>
          <cell r="T145">
            <v>292</v>
          </cell>
          <cell r="U145">
            <v>205</v>
          </cell>
          <cell r="V145">
            <v>117</v>
          </cell>
          <cell r="W145">
            <v>524</v>
          </cell>
          <cell r="X145">
            <v>477</v>
          </cell>
          <cell r="Y145">
            <v>402</v>
          </cell>
          <cell r="Z145">
            <v>347</v>
          </cell>
          <cell r="AA145">
            <v>292</v>
          </cell>
          <cell r="AB145">
            <v>205</v>
          </cell>
          <cell r="AC145">
            <v>117</v>
          </cell>
        </row>
        <row r="146">
          <cell r="A146" t="str">
            <v>8-14-22</v>
          </cell>
          <cell r="B146">
            <v>641</v>
          </cell>
          <cell r="C146">
            <v>576</v>
          </cell>
          <cell r="D146">
            <v>477</v>
          </cell>
          <cell r="E146">
            <v>409</v>
          </cell>
          <cell r="F146">
            <v>341</v>
          </cell>
          <cell r="G146">
            <v>233</v>
          </cell>
          <cell r="H146">
            <v>125</v>
          </cell>
          <cell r="I146">
            <v>641</v>
          </cell>
          <cell r="J146">
            <v>576</v>
          </cell>
          <cell r="K146">
            <v>477</v>
          </cell>
          <cell r="L146">
            <v>409</v>
          </cell>
          <cell r="M146">
            <v>341</v>
          </cell>
          <cell r="N146">
            <v>233</v>
          </cell>
          <cell r="O146">
            <v>125</v>
          </cell>
          <cell r="P146">
            <v>481</v>
          </cell>
          <cell r="Q146">
            <v>440</v>
          </cell>
          <cell r="R146">
            <v>374</v>
          </cell>
          <cell r="S146">
            <v>326</v>
          </cell>
          <cell r="T146">
            <v>277</v>
          </cell>
          <cell r="U146">
            <v>193</v>
          </cell>
          <cell r="V146">
            <v>109</v>
          </cell>
          <cell r="W146">
            <v>481</v>
          </cell>
          <cell r="X146">
            <v>440</v>
          </cell>
          <cell r="Y146">
            <v>374</v>
          </cell>
          <cell r="Z146">
            <v>326</v>
          </cell>
          <cell r="AA146">
            <v>277</v>
          </cell>
          <cell r="AB146">
            <v>193</v>
          </cell>
          <cell r="AC146">
            <v>109</v>
          </cell>
        </row>
        <row r="147">
          <cell r="A147" t="str">
            <v>8-15-22</v>
          </cell>
          <cell r="B147">
            <v>580</v>
          </cell>
          <cell r="C147">
            <v>523</v>
          </cell>
          <cell r="D147">
            <v>436</v>
          </cell>
          <cell r="E147">
            <v>374</v>
          </cell>
          <cell r="F147">
            <v>312</v>
          </cell>
          <cell r="G147">
            <v>213</v>
          </cell>
          <cell r="H147">
            <v>114</v>
          </cell>
          <cell r="I147">
            <v>580</v>
          </cell>
          <cell r="J147">
            <v>523</v>
          </cell>
          <cell r="K147">
            <v>436</v>
          </cell>
          <cell r="L147">
            <v>374</v>
          </cell>
          <cell r="M147">
            <v>312</v>
          </cell>
          <cell r="N147">
            <v>213</v>
          </cell>
          <cell r="O147">
            <v>114</v>
          </cell>
          <cell r="P147">
            <v>435</v>
          </cell>
          <cell r="Q147">
            <v>400</v>
          </cell>
          <cell r="R147">
            <v>341</v>
          </cell>
          <cell r="S147">
            <v>297</v>
          </cell>
          <cell r="T147">
            <v>253</v>
          </cell>
          <cell r="U147">
            <v>176</v>
          </cell>
          <cell r="V147">
            <v>99</v>
          </cell>
          <cell r="W147">
            <v>435</v>
          </cell>
          <cell r="X147">
            <v>400</v>
          </cell>
          <cell r="Y147">
            <v>341</v>
          </cell>
          <cell r="Z147">
            <v>297</v>
          </cell>
          <cell r="AA147">
            <v>253</v>
          </cell>
          <cell r="AB147">
            <v>176</v>
          </cell>
          <cell r="AC147">
            <v>99</v>
          </cell>
        </row>
        <row r="148">
          <cell r="A148" t="str">
            <v>8-16-22</v>
          </cell>
          <cell r="B148">
            <v>515</v>
          </cell>
          <cell r="C148">
            <v>467</v>
          </cell>
          <cell r="D148">
            <v>390</v>
          </cell>
          <cell r="E148">
            <v>336</v>
          </cell>
          <cell r="F148">
            <v>282</v>
          </cell>
          <cell r="G148">
            <v>192</v>
          </cell>
          <cell r="H148">
            <v>102</v>
          </cell>
          <cell r="I148">
            <v>515</v>
          </cell>
          <cell r="J148">
            <v>467</v>
          </cell>
          <cell r="K148">
            <v>390</v>
          </cell>
          <cell r="L148">
            <v>336</v>
          </cell>
          <cell r="M148">
            <v>282</v>
          </cell>
          <cell r="N148">
            <v>192</v>
          </cell>
          <cell r="O148">
            <v>102</v>
          </cell>
          <cell r="P148">
            <v>386</v>
          </cell>
          <cell r="Q148">
            <v>358</v>
          </cell>
          <cell r="R148">
            <v>306</v>
          </cell>
          <cell r="S148">
            <v>268</v>
          </cell>
          <cell r="T148">
            <v>229</v>
          </cell>
          <cell r="U148">
            <v>159</v>
          </cell>
          <cell r="V148">
            <v>89</v>
          </cell>
          <cell r="W148">
            <v>386</v>
          </cell>
          <cell r="X148">
            <v>358</v>
          </cell>
          <cell r="Y148">
            <v>306</v>
          </cell>
          <cell r="Z148">
            <v>268</v>
          </cell>
          <cell r="AA148">
            <v>229</v>
          </cell>
          <cell r="AB148">
            <v>159</v>
          </cell>
          <cell r="AC148">
            <v>89</v>
          </cell>
        </row>
        <row r="149">
          <cell r="A149" t="str">
            <v>9-11-22</v>
          </cell>
          <cell r="B149">
            <v>803</v>
          </cell>
          <cell r="C149">
            <v>710</v>
          </cell>
          <cell r="D149">
            <v>571</v>
          </cell>
          <cell r="E149">
            <v>486</v>
          </cell>
          <cell r="F149">
            <v>401</v>
          </cell>
          <cell r="G149">
            <v>276</v>
          </cell>
          <cell r="H149">
            <v>150</v>
          </cell>
          <cell r="I149">
            <v>803</v>
          </cell>
          <cell r="J149">
            <v>710</v>
          </cell>
          <cell r="K149">
            <v>571</v>
          </cell>
          <cell r="L149">
            <v>486</v>
          </cell>
          <cell r="M149">
            <v>401</v>
          </cell>
          <cell r="N149">
            <v>273</v>
          </cell>
          <cell r="O149">
            <v>145</v>
          </cell>
          <cell r="P149">
            <v>602</v>
          </cell>
          <cell r="Q149">
            <v>543</v>
          </cell>
          <cell r="R149">
            <v>447</v>
          </cell>
          <cell r="S149">
            <v>387</v>
          </cell>
          <cell r="T149">
            <v>326</v>
          </cell>
          <cell r="U149">
            <v>228</v>
          </cell>
          <cell r="V149">
            <v>130</v>
          </cell>
          <cell r="W149">
            <v>602</v>
          </cell>
          <cell r="X149">
            <v>543</v>
          </cell>
          <cell r="Y149">
            <v>447</v>
          </cell>
          <cell r="Z149">
            <v>387</v>
          </cell>
          <cell r="AA149">
            <v>326</v>
          </cell>
          <cell r="AB149">
            <v>226</v>
          </cell>
          <cell r="AC149">
            <v>126</v>
          </cell>
        </row>
        <row r="150">
          <cell r="A150" t="str">
            <v>9-12-22</v>
          </cell>
          <cell r="B150">
            <v>747</v>
          </cell>
          <cell r="C150">
            <v>663</v>
          </cell>
          <cell r="D150">
            <v>543</v>
          </cell>
          <cell r="E150">
            <v>460</v>
          </cell>
          <cell r="F150">
            <v>377</v>
          </cell>
          <cell r="G150">
            <v>258</v>
          </cell>
          <cell r="H150">
            <v>138</v>
          </cell>
          <cell r="I150">
            <v>747</v>
          </cell>
          <cell r="J150">
            <v>663</v>
          </cell>
          <cell r="K150">
            <v>543</v>
          </cell>
          <cell r="L150">
            <v>460</v>
          </cell>
          <cell r="M150">
            <v>377</v>
          </cell>
          <cell r="N150">
            <v>258</v>
          </cell>
          <cell r="O150">
            <v>138</v>
          </cell>
          <cell r="P150">
            <v>560</v>
          </cell>
          <cell r="Q150">
            <v>508</v>
          </cell>
          <cell r="R150">
            <v>425</v>
          </cell>
          <cell r="S150">
            <v>366</v>
          </cell>
          <cell r="T150">
            <v>307</v>
          </cell>
          <cell r="U150">
            <v>214</v>
          </cell>
          <cell r="V150">
            <v>120</v>
          </cell>
          <cell r="W150">
            <v>560</v>
          </cell>
          <cell r="X150">
            <v>508</v>
          </cell>
          <cell r="Y150">
            <v>425</v>
          </cell>
          <cell r="Z150">
            <v>366</v>
          </cell>
          <cell r="AA150">
            <v>307</v>
          </cell>
          <cell r="AB150">
            <v>214</v>
          </cell>
          <cell r="AC150">
            <v>120</v>
          </cell>
        </row>
        <row r="151">
          <cell r="A151" t="str">
            <v>9-13-22</v>
          </cell>
          <cell r="B151">
            <v>691</v>
          </cell>
          <cell r="C151">
            <v>616</v>
          </cell>
          <cell r="D151">
            <v>508</v>
          </cell>
          <cell r="E151">
            <v>432</v>
          </cell>
          <cell r="F151">
            <v>355</v>
          </cell>
          <cell r="G151">
            <v>243</v>
          </cell>
          <cell r="H151">
            <v>131</v>
          </cell>
          <cell r="I151">
            <v>691</v>
          </cell>
          <cell r="J151">
            <v>616</v>
          </cell>
          <cell r="K151">
            <v>508</v>
          </cell>
          <cell r="L151">
            <v>432</v>
          </cell>
          <cell r="M151">
            <v>355</v>
          </cell>
          <cell r="N151">
            <v>243</v>
          </cell>
          <cell r="O151">
            <v>131</v>
          </cell>
          <cell r="P151">
            <v>518</v>
          </cell>
          <cell r="Q151">
            <v>472</v>
          </cell>
          <cell r="R151">
            <v>397</v>
          </cell>
          <cell r="S151">
            <v>343</v>
          </cell>
          <cell r="T151">
            <v>288</v>
          </cell>
          <cell r="U151">
            <v>201</v>
          </cell>
          <cell r="V151">
            <v>114</v>
          </cell>
          <cell r="W151">
            <v>518</v>
          </cell>
          <cell r="X151">
            <v>472</v>
          </cell>
          <cell r="Y151">
            <v>397</v>
          </cell>
          <cell r="Z151">
            <v>343</v>
          </cell>
          <cell r="AA151">
            <v>288</v>
          </cell>
          <cell r="AB151">
            <v>201</v>
          </cell>
          <cell r="AC151">
            <v>114</v>
          </cell>
        </row>
        <row r="152">
          <cell r="A152" t="str">
            <v>9-14-22</v>
          </cell>
          <cell r="B152">
            <v>634</v>
          </cell>
          <cell r="C152">
            <v>569</v>
          </cell>
          <cell r="D152">
            <v>471</v>
          </cell>
          <cell r="E152">
            <v>404</v>
          </cell>
          <cell r="F152">
            <v>336</v>
          </cell>
          <cell r="G152">
            <v>230</v>
          </cell>
          <cell r="H152">
            <v>124</v>
          </cell>
          <cell r="I152">
            <v>634</v>
          </cell>
          <cell r="J152">
            <v>569</v>
          </cell>
          <cell r="K152">
            <v>471</v>
          </cell>
          <cell r="L152">
            <v>404</v>
          </cell>
          <cell r="M152">
            <v>336</v>
          </cell>
          <cell r="N152">
            <v>230</v>
          </cell>
          <cell r="O152">
            <v>124</v>
          </cell>
          <cell r="P152">
            <v>475</v>
          </cell>
          <cell r="Q152">
            <v>435</v>
          </cell>
          <cell r="R152">
            <v>369</v>
          </cell>
          <cell r="S152">
            <v>321</v>
          </cell>
          <cell r="T152">
            <v>273</v>
          </cell>
          <cell r="U152">
            <v>191</v>
          </cell>
          <cell r="V152">
            <v>108</v>
          </cell>
          <cell r="W152">
            <v>475</v>
          </cell>
          <cell r="X152">
            <v>435</v>
          </cell>
          <cell r="Y152">
            <v>369</v>
          </cell>
          <cell r="Z152">
            <v>321</v>
          </cell>
          <cell r="AA152">
            <v>273</v>
          </cell>
          <cell r="AB152">
            <v>191</v>
          </cell>
          <cell r="AC152">
            <v>108</v>
          </cell>
        </row>
        <row r="153">
          <cell r="A153" t="str">
            <v>9-15-22</v>
          </cell>
          <cell r="B153">
            <v>576</v>
          </cell>
          <cell r="C153">
            <v>520</v>
          </cell>
          <cell r="D153">
            <v>432</v>
          </cell>
          <cell r="E153">
            <v>372</v>
          </cell>
          <cell r="F153">
            <v>311</v>
          </cell>
          <cell r="G153">
            <v>213</v>
          </cell>
          <cell r="H153">
            <v>114</v>
          </cell>
          <cell r="I153">
            <v>576</v>
          </cell>
          <cell r="J153">
            <v>520</v>
          </cell>
          <cell r="K153">
            <v>432</v>
          </cell>
          <cell r="L153">
            <v>372</v>
          </cell>
          <cell r="M153">
            <v>311</v>
          </cell>
          <cell r="N153">
            <v>213</v>
          </cell>
          <cell r="O153">
            <v>114</v>
          </cell>
          <cell r="P153">
            <v>432</v>
          </cell>
          <cell r="Q153">
            <v>398</v>
          </cell>
          <cell r="R153">
            <v>338</v>
          </cell>
          <cell r="S153">
            <v>296</v>
          </cell>
          <cell r="T153">
            <v>253</v>
          </cell>
          <cell r="U153">
            <v>176</v>
          </cell>
          <cell r="V153">
            <v>99</v>
          </cell>
          <cell r="W153">
            <v>432</v>
          </cell>
          <cell r="X153">
            <v>398</v>
          </cell>
          <cell r="Y153">
            <v>338</v>
          </cell>
          <cell r="Z153">
            <v>296</v>
          </cell>
          <cell r="AA153">
            <v>253</v>
          </cell>
          <cell r="AB153">
            <v>176</v>
          </cell>
          <cell r="AC153">
            <v>99</v>
          </cell>
        </row>
        <row r="154">
          <cell r="A154" t="str">
            <v>9-16-22</v>
          </cell>
          <cell r="B154">
            <v>512</v>
          </cell>
          <cell r="C154">
            <v>464</v>
          </cell>
          <cell r="D154">
            <v>388</v>
          </cell>
          <cell r="E154">
            <v>335</v>
          </cell>
          <cell r="F154">
            <v>281</v>
          </cell>
          <cell r="G154">
            <v>192</v>
          </cell>
          <cell r="H154">
            <v>102</v>
          </cell>
          <cell r="I154">
            <v>512</v>
          </cell>
          <cell r="J154">
            <v>464</v>
          </cell>
          <cell r="K154">
            <v>388</v>
          </cell>
          <cell r="L154">
            <v>335</v>
          </cell>
          <cell r="M154">
            <v>281</v>
          </cell>
          <cell r="N154">
            <v>192</v>
          </cell>
          <cell r="O154">
            <v>102</v>
          </cell>
          <cell r="P154">
            <v>384</v>
          </cell>
          <cell r="Q154">
            <v>355</v>
          </cell>
          <cell r="R154">
            <v>304</v>
          </cell>
          <cell r="S154">
            <v>266</v>
          </cell>
          <cell r="T154">
            <v>228</v>
          </cell>
          <cell r="U154">
            <v>159</v>
          </cell>
          <cell r="V154">
            <v>89</v>
          </cell>
          <cell r="W154">
            <v>384</v>
          </cell>
          <cell r="X154">
            <v>355</v>
          </cell>
          <cell r="Y154">
            <v>304</v>
          </cell>
          <cell r="Z154">
            <v>266</v>
          </cell>
          <cell r="AA154">
            <v>228</v>
          </cell>
          <cell r="AB154">
            <v>159</v>
          </cell>
          <cell r="AC154">
            <v>89</v>
          </cell>
        </row>
        <row r="155">
          <cell r="A155" t="str">
            <v>9-17-22</v>
          </cell>
          <cell r="B155">
            <v>444</v>
          </cell>
          <cell r="C155">
            <v>405</v>
          </cell>
          <cell r="D155">
            <v>342</v>
          </cell>
          <cell r="E155">
            <v>295</v>
          </cell>
          <cell r="F155">
            <v>248</v>
          </cell>
          <cell r="G155">
            <v>170</v>
          </cell>
          <cell r="H155">
            <v>92</v>
          </cell>
          <cell r="I155">
            <v>444</v>
          </cell>
          <cell r="J155">
            <v>405</v>
          </cell>
          <cell r="K155">
            <v>342</v>
          </cell>
          <cell r="L155">
            <v>295</v>
          </cell>
          <cell r="M155">
            <v>248</v>
          </cell>
          <cell r="N155">
            <v>170</v>
          </cell>
          <cell r="O155">
            <v>92</v>
          </cell>
          <cell r="P155">
            <v>333</v>
          </cell>
          <cell r="Q155">
            <v>310</v>
          </cell>
          <cell r="R155">
            <v>268</v>
          </cell>
          <cell r="S155">
            <v>235</v>
          </cell>
          <cell r="T155">
            <v>202</v>
          </cell>
          <cell r="U155">
            <v>141</v>
          </cell>
          <cell r="V155">
            <v>80</v>
          </cell>
          <cell r="W155">
            <v>333</v>
          </cell>
          <cell r="X155">
            <v>310</v>
          </cell>
          <cell r="Y155">
            <v>268</v>
          </cell>
          <cell r="Z155">
            <v>235</v>
          </cell>
          <cell r="AA155">
            <v>202</v>
          </cell>
          <cell r="AB155">
            <v>141</v>
          </cell>
          <cell r="AC155">
            <v>80</v>
          </cell>
        </row>
        <row r="156">
          <cell r="A156" t="str">
            <v>10-12-22</v>
          </cell>
          <cell r="B156">
            <v>740</v>
          </cell>
          <cell r="C156">
            <v>656</v>
          </cell>
          <cell r="D156">
            <v>537</v>
          </cell>
          <cell r="E156">
            <v>455</v>
          </cell>
          <cell r="F156">
            <v>372</v>
          </cell>
          <cell r="G156">
            <v>254</v>
          </cell>
          <cell r="H156">
            <v>136</v>
          </cell>
          <cell r="I156">
            <v>740</v>
          </cell>
          <cell r="J156">
            <v>656</v>
          </cell>
          <cell r="K156">
            <v>537</v>
          </cell>
          <cell r="L156">
            <v>455</v>
          </cell>
          <cell r="M156">
            <v>372</v>
          </cell>
          <cell r="N156">
            <v>254</v>
          </cell>
          <cell r="O156">
            <v>136</v>
          </cell>
          <cell r="P156">
            <v>555</v>
          </cell>
          <cell r="Q156">
            <v>502</v>
          </cell>
          <cell r="R156">
            <v>420</v>
          </cell>
          <cell r="S156">
            <v>361</v>
          </cell>
          <cell r="T156">
            <v>302</v>
          </cell>
          <cell r="U156">
            <v>210</v>
          </cell>
          <cell r="V156">
            <v>118</v>
          </cell>
          <cell r="W156">
            <v>555</v>
          </cell>
          <cell r="X156">
            <v>502</v>
          </cell>
          <cell r="Y156">
            <v>420</v>
          </cell>
          <cell r="Z156">
            <v>361</v>
          </cell>
          <cell r="AA156">
            <v>302</v>
          </cell>
          <cell r="AB156">
            <v>210</v>
          </cell>
          <cell r="AC156">
            <v>118</v>
          </cell>
        </row>
        <row r="157">
          <cell r="A157" t="str">
            <v>10-13-22</v>
          </cell>
          <cell r="B157">
            <v>684</v>
          </cell>
          <cell r="C157">
            <v>610</v>
          </cell>
          <cell r="D157">
            <v>501</v>
          </cell>
          <cell r="E157">
            <v>426</v>
          </cell>
          <cell r="F157">
            <v>350</v>
          </cell>
          <cell r="G157">
            <v>239</v>
          </cell>
          <cell r="H157">
            <v>128</v>
          </cell>
          <cell r="I157">
            <v>684</v>
          </cell>
          <cell r="J157">
            <v>610</v>
          </cell>
          <cell r="K157">
            <v>501</v>
          </cell>
          <cell r="L157">
            <v>426</v>
          </cell>
          <cell r="M157">
            <v>350</v>
          </cell>
          <cell r="N157">
            <v>239</v>
          </cell>
          <cell r="O157">
            <v>128</v>
          </cell>
          <cell r="P157">
            <v>513</v>
          </cell>
          <cell r="Q157">
            <v>466</v>
          </cell>
          <cell r="R157">
            <v>392</v>
          </cell>
          <cell r="S157">
            <v>338</v>
          </cell>
          <cell r="T157">
            <v>284</v>
          </cell>
          <cell r="U157">
            <v>198</v>
          </cell>
          <cell r="V157">
            <v>112</v>
          </cell>
          <cell r="W157">
            <v>513</v>
          </cell>
          <cell r="X157">
            <v>466</v>
          </cell>
          <cell r="Y157">
            <v>392</v>
          </cell>
          <cell r="Z157">
            <v>338</v>
          </cell>
          <cell r="AA157">
            <v>284</v>
          </cell>
          <cell r="AB157">
            <v>198</v>
          </cell>
          <cell r="AC157">
            <v>112</v>
          </cell>
        </row>
        <row r="158">
          <cell r="A158" t="str">
            <v>10-14-22</v>
          </cell>
          <cell r="B158">
            <v>627</v>
          </cell>
          <cell r="C158">
            <v>562</v>
          </cell>
          <cell r="D158">
            <v>464</v>
          </cell>
          <cell r="E158">
            <v>398</v>
          </cell>
          <cell r="F158">
            <v>332</v>
          </cell>
          <cell r="G158">
            <v>227</v>
          </cell>
          <cell r="H158">
            <v>122</v>
          </cell>
          <cell r="I158">
            <v>627</v>
          </cell>
          <cell r="J158">
            <v>562</v>
          </cell>
          <cell r="K158">
            <v>464</v>
          </cell>
          <cell r="L158">
            <v>398</v>
          </cell>
          <cell r="M158">
            <v>332</v>
          </cell>
          <cell r="N158">
            <v>227</v>
          </cell>
          <cell r="O158">
            <v>122</v>
          </cell>
          <cell r="P158">
            <v>470</v>
          </cell>
          <cell r="Q158">
            <v>430</v>
          </cell>
          <cell r="R158">
            <v>363</v>
          </cell>
          <cell r="S158">
            <v>317</v>
          </cell>
          <cell r="T158">
            <v>270</v>
          </cell>
          <cell r="U158">
            <v>189</v>
          </cell>
          <cell r="V158">
            <v>107</v>
          </cell>
          <cell r="W158">
            <v>470</v>
          </cell>
          <cell r="X158">
            <v>430</v>
          </cell>
          <cell r="Y158">
            <v>363</v>
          </cell>
          <cell r="Z158">
            <v>317</v>
          </cell>
          <cell r="AA158">
            <v>270</v>
          </cell>
          <cell r="AB158">
            <v>189</v>
          </cell>
          <cell r="AC158">
            <v>107</v>
          </cell>
        </row>
        <row r="159">
          <cell r="A159" t="str">
            <v>10-15-22</v>
          </cell>
          <cell r="B159">
            <v>569</v>
          </cell>
          <cell r="C159">
            <v>513</v>
          </cell>
          <cell r="D159">
            <v>426</v>
          </cell>
          <cell r="E159">
            <v>367</v>
          </cell>
          <cell r="F159">
            <v>307</v>
          </cell>
          <cell r="G159">
            <v>210</v>
          </cell>
          <cell r="H159">
            <v>113</v>
          </cell>
          <cell r="I159">
            <v>569</v>
          </cell>
          <cell r="J159">
            <v>513</v>
          </cell>
          <cell r="K159">
            <v>426</v>
          </cell>
          <cell r="L159">
            <v>367</v>
          </cell>
          <cell r="M159">
            <v>307</v>
          </cell>
          <cell r="N159">
            <v>210</v>
          </cell>
          <cell r="O159">
            <v>113</v>
          </cell>
          <cell r="P159">
            <v>427</v>
          </cell>
          <cell r="Q159">
            <v>392</v>
          </cell>
          <cell r="R159">
            <v>333</v>
          </cell>
          <cell r="S159">
            <v>292</v>
          </cell>
          <cell r="T159">
            <v>250</v>
          </cell>
          <cell r="U159">
            <v>175</v>
          </cell>
          <cell r="V159">
            <v>99</v>
          </cell>
          <cell r="W159">
            <v>427</v>
          </cell>
          <cell r="X159">
            <v>392</v>
          </cell>
          <cell r="Y159">
            <v>333</v>
          </cell>
          <cell r="Z159">
            <v>292</v>
          </cell>
          <cell r="AA159">
            <v>250</v>
          </cell>
          <cell r="AB159">
            <v>175</v>
          </cell>
          <cell r="AC159">
            <v>99</v>
          </cell>
        </row>
        <row r="160">
          <cell r="A160" t="str">
            <v>10-16-22</v>
          </cell>
          <cell r="B160">
            <v>507</v>
          </cell>
          <cell r="C160">
            <v>460</v>
          </cell>
          <cell r="D160">
            <v>385</v>
          </cell>
          <cell r="E160">
            <v>332</v>
          </cell>
          <cell r="F160">
            <v>278</v>
          </cell>
          <cell r="G160">
            <v>190</v>
          </cell>
          <cell r="H160">
            <v>102</v>
          </cell>
          <cell r="I160">
            <v>507</v>
          </cell>
          <cell r="J160">
            <v>460</v>
          </cell>
          <cell r="K160">
            <v>385</v>
          </cell>
          <cell r="L160">
            <v>332</v>
          </cell>
          <cell r="M160">
            <v>278</v>
          </cell>
          <cell r="N160">
            <v>190</v>
          </cell>
          <cell r="O160">
            <v>102</v>
          </cell>
          <cell r="P160">
            <v>380</v>
          </cell>
          <cell r="Q160">
            <v>352</v>
          </cell>
          <cell r="R160">
            <v>301</v>
          </cell>
          <cell r="S160">
            <v>264</v>
          </cell>
          <cell r="T160">
            <v>226</v>
          </cell>
          <cell r="U160">
            <v>158</v>
          </cell>
          <cell r="V160">
            <v>89</v>
          </cell>
          <cell r="W160">
            <v>380</v>
          </cell>
          <cell r="X160">
            <v>352</v>
          </cell>
          <cell r="Y160">
            <v>301</v>
          </cell>
          <cell r="Z160">
            <v>264</v>
          </cell>
          <cell r="AA160">
            <v>226</v>
          </cell>
          <cell r="AB160">
            <v>158</v>
          </cell>
          <cell r="AC160">
            <v>89</v>
          </cell>
        </row>
        <row r="161">
          <cell r="A161" t="str">
            <v>10-17-22</v>
          </cell>
          <cell r="B161">
            <v>441</v>
          </cell>
          <cell r="C161">
            <v>401</v>
          </cell>
          <cell r="D161">
            <v>338</v>
          </cell>
          <cell r="E161">
            <v>293</v>
          </cell>
          <cell r="F161">
            <v>247</v>
          </cell>
          <cell r="G161">
            <v>169</v>
          </cell>
          <cell r="H161">
            <v>91</v>
          </cell>
          <cell r="I161">
            <v>441</v>
          </cell>
          <cell r="J161">
            <v>401</v>
          </cell>
          <cell r="K161">
            <v>338</v>
          </cell>
          <cell r="L161">
            <v>293</v>
          </cell>
          <cell r="M161">
            <v>247</v>
          </cell>
          <cell r="N161">
            <v>169</v>
          </cell>
          <cell r="O161">
            <v>91</v>
          </cell>
          <cell r="P161">
            <v>330</v>
          </cell>
          <cell r="Q161">
            <v>307</v>
          </cell>
          <cell r="R161">
            <v>265</v>
          </cell>
          <cell r="S161">
            <v>233</v>
          </cell>
          <cell r="T161">
            <v>201</v>
          </cell>
          <cell r="U161">
            <v>140</v>
          </cell>
          <cell r="V161">
            <v>79</v>
          </cell>
          <cell r="W161">
            <v>330</v>
          </cell>
          <cell r="X161">
            <v>307</v>
          </cell>
          <cell r="Y161">
            <v>265</v>
          </cell>
          <cell r="Z161">
            <v>233</v>
          </cell>
          <cell r="AA161">
            <v>201</v>
          </cell>
          <cell r="AB161">
            <v>140</v>
          </cell>
          <cell r="AC161">
            <v>79</v>
          </cell>
        </row>
        <row r="162">
          <cell r="A162" t="str">
            <v>11-13-22</v>
          </cell>
          <cell r="B162">
            <v>676</v>
          </cell>
          <cell r="C162">
            <v>602</v>
          </cell>
          <cell r="D162">
            <v>494</v>
          </cell>
          <cell r="E162">
            <v>420</v>
          </cell>
          <cell r="F162">
            <v>345</v>
          </cell>
          <cell r="G162">
            <v>236</v>
          </cell>
          <cell r="H162">
            <v>126</v>
          </cell>
          <cell r="I162">
            <v>676</v>
          </cell>
          <cell r="J162">
            <v>602</v>
          </cell>
          <cell r="K162">
            <v>494</v>
          </cell>
          <cell r="L162">
            <v>420</v>
          </cell>
          <cell r="M162">
            <v>345</v>
          </cell>
          <cell r="N162">
            <v>236</v>
          </cell>
          <cell r="O162">
            <v>126</v>
          </cell>
          <cell r="P162">
            <v>507</v>
          </cell>
          <cell r="Q162">
            <v>461</v>
          </cell>
          <cell r="R162">
            <v>387</v>
          </cell>
          <cell r="S162">
            <v>334</v>
          </cell>
          <cell r="T162">
            <v>280</v>
          </cell>
          <cell r="U162">
            <v>195</v>
          </cell>
          <cell r="V162">
            <v>109</v>
          </cell>
          <cell r="W162">
            <v>507</v>
          </cell>
          <cell r="X162">
            <v>461</v>
          </cell>
          <cell r="Y162">
            <v>387</v>
          </cell>
          <cell r="Z162">
            <v>334</v>
          </cell>
          <cell r="AA162">
            <v>280</v>
          </cell>
          <cell r="AB162">
            <v>195</v>
          </cell>
          <cell r="AC162">
            <v>109</v>
          </cell>
        </row>
        <row r="163">
          <cell r="A163" t="str">
            <v>11-14-22</v>
          </cell>
          <cell r="B163">
            <v>619</v>
          </cell>
          <cell r="C163">
            <v>554</v>
          </cell>
          <cell r="D163">
            <v>458</v>
          </cell>
          <cell r="E163">
            <v>392</v>
          </cell>
          <cell r="F163">
            <v>326</v>
          </cell>
          <cell r="G163">
            <v>223</v>
          </cell>
          <cell r="H163">
            <v>120</v>
          </cell>
          <cell r="I163">
            <v>619</v>
          </cell>
          <cell r="J163">
            <v>554</v>
          </cell>
          <cell r="K163">
            <v>458</v>
          </cell>
          <cell r="L163">
            <v>392</v>
          </cell>
          <cell r="M163">
            <v>326</v>
          </cell>
          <cell r="N163">
            <v>223</v>
          </cell>
          <cell r="O163">
            <v>120</v>
          </cell>
          <cell r="P163">
            <v>464</v>
          </cell>
          <cell r="Q163">
            <v>424</v>
          </cell>
          <cell r="R163">
            <v>358</v>
          </cell>
          <cell r="S163">
            <v>312</v>
          </cell>
          <cell r="T163">
            <v>265</v>
          </cell>
          <cell r="U163">
            <v>185</v>
          </cell>
          <cell r="V163">
            <v>104</v>
          </cell>
          <cell r="W163">
            <v>464</v>
          </cell>
          <cell r="X163">
            <v>424</v>
          </cell>
          <cell r="Y163">
            <v>358</v>
          </cell>
          <cell r="Z163">
            <v>312</v>
          </cell>
          <cell r="AA163">
            <v>265</v>
          </cell>
          <cell r="AB163">
            <v>185</v>
          </cell>
          <cell r="AC163">
            <v>104</v>
          </cell>
        </row>
        <row r="164">
          <cell r="A164" t="str">
            <v>11-15-22</v>
          </cell>
          <cell r="B164">
            <v>561</v>
          </cell>
          <cell r="C164">
            <v>505</v>
          </cell>
          <cell r="D164">
            <v>420</v>
          </cell>
          <cell r="E164">
            <v>361</v>
          </cell>
          <cell r="F164">
            <v>302</v>
          </cell>
          <cell r="G164">
            <v>207</v>
          </cell>
          <cell r="H164">
            <v>111</v>
          </cell>
          <cell r="I164">
            <v>561</v>
          </cell>
          <cell r="J164">
            <v>505</v>
          </cell>
          <cell r="K164">
            <v>420</v>
          </cell>
          <cell r="L164">
            <v>361</v>
          </cell>
          <cell r="M164">
            <v>302</v>
          </cell>
          <cell r="N164">
            <v>207</v>
          </cell>
          <cell r="O164">
            <v>111</v>
          </cell>
          <cell r="P164">
            <v>421</v>
          </cell>
          <cell r="Q164">
            <v>386</v>
          </cell>
          <cell r="R164">
            <v>329</v>
          </cell>
          <cell r="S164">
            <v>287</v>
          </cell>
          <cell r="T164">
            <v>245</v>
          </cell>
          <cell r="U164">
            <v>171</v>
          </cell>
          <cell r="V164">
            <v>97</v>
          </cell>
          <cell r="W164">
            <v>421</v>
          </cell>
          <cell r="X164">
            <v>386</v>
          </cell>
          <cell r="Y164">
            <v>329</v>
          </cell>
          <cell r="Z164">
            <v>287</v>
          </cell>
          <cell r="AA164">
            <v>245</v>
          </cell>
          <cell r="AB164">
            <v>171</v>
          </cell>
          <cell r="AC164">
            <v>97</v>
          </cell>
        </row>
        <row r="165">
          <cell r="A165" t="str">
            <v>11-16-22</v>
          </cell>
          <cell r="B165">
            <v>501</v>
          </cell>
          <cell r="C165">
            <v>455</v>
          </cell>
          <cell r="D165">
            <v>380</v>
          </cell>
          <cell r="E165">
            <v>328</v>
          </cell>
          <cell r="F165">
            <v>276</v>
          </cell>
          <cell r="G165">
            <v>189</v>
          </cell>
          <cell r="H165">
            <v>102</v>
          </cell>
          <cell r="I165">
            <v>501</v>
          </cell>
          <cell r="J165">
            <v>455</v>
          </cell>
          <cell r="K165">
            <v>380</v>
          </cell>
          <cell r="L165">
            <v>328</v>
          </cell>
          <cell r="M165">
            <v>276</v>
          </cell>
          <cell r="N165">
            <v>189</v>
          </cell>
          <cell r="O165">
            <v>102</v>
          </cell>
          <cell r="P165">
            <v>376</v>
          </cell>
          <cell r="Q165">
            <v>348</v>
          </cell>
          <cell r="R165">
            <v>297</v>
          </cell>
          <cell r="S165">
            <v>261</v>
          </cell>
          <cell r="T165">
            <v>224</v>
          </cell>
          <cell r="U165">
            <v>157</v>
          </cell>
          <cell r="V165">
            <v>89</v>
          </cell>
          <cell r="W165">
            <v>376</v>
          </cell>
          <cell r="X165">
            <v>348</v>
          </cell>
          <cell r="Y165">
            <v>297</v>
          </cell>
          <cell r="Z165">
            <v>261</v>
          </cell>
          <cell r="AA165">
            <v>224</v>
          </cell>
          <cell r="AB165">
            <v>157</v>
          </cell>
          <cell r="AC165">
            <v>89</v>
          </cell>
        </row>
        <row r="166">
          <cell r="A166" t="str">
            <v>11-17-22</v>
          </cell>
          <cell r="B166">
            <v>437</v>
          </cell>
          <cell r="C166">
            <v>396</v>
          </cell>
          <cell r="D166">
            <v>335</v>
          </cell>
          <cell r="E166">
            <v>290</v>
          </cell>
          <cell r="F166">
            <v>244</v>
          </cell>
          <cell r="G166">
            <v>168</v>
          </cell>
          <cell r="H166">
            <v>91</v>
          </cell>
          <cell r="I166">
            <v>437</v>
          </cell>
          <cell r="J166">
            <v>396</v>
          </cell>
          <cell r="K166">
            <v>335</v>
          </cell>
          <cell r="L166">
            <v>290</v>
          </cell>
          <cell r="M166">
            <v>244</v>
          </cell>
          <cell r="N166">
            <v>168</v>
          </cell>
          <cell r="O166">
            <v>91</v>
          </cell>
          <cell r="P166">
            <v>327</v>
          </cell>
          <cell r="Q166">
            <v>303</v>
          </cell>
          <cell r="R166">
            <v>262</v>
          </cell>
          <cell r="S166">
            <v>231</v>
          </cell>
          <cell r="T166">
            <v>199</v>
          </cell>
          <cell r="U166">
            <v>139</v>
          </cell>
          <cell r="V166">
            <v>79</v>
          </cell>
          <cell r="W166">
            <v>327</v>
          </cell>
          <cell r="X166">
            <v>303</v>
          </cell>
          <cell r="Y166">
            <v>262</v>
          </cell>
          <cell r="Z166">
            <v>231</v>
          </cell>
          <cell r="AA166">
            <v>199</v>
          </cell>
          <cell r="AB166">
            <v>139</v>
          </cell>
          <cell r="AC166">
            <v>79</v>
          </cell>
        </row>
        <row r="167">
          <cell r="A167" t="str">
            <v>12-14-22</v>
          </cell>
          <cell r="B167">
            <v>611</v>
          </cell>
          <cell r="C167">
            <v>546</v>
          </cell>
          <cell r="D167">
            <v>450</v>
          </cell>
          <cell r="E167">
            <v>386</v>
          </cell>
          <cell r="F167">
            <v>321</v>
          </cell>
          <cell r="G167">
            <v>219</v>
          </cell>
          <cell r="H167">
            <v>117</v>
          </cell>
          <cell r="I167">
            <v>611</v>
          </cell>
          <cell r="J167">
            <v>546</v>
          </cell>
          <cell r="K167">
            <v>450</v>
          </cell>
          <cell r="L167">
            <v>386</v>
          </cell>
          <cell r="M167">
            <v>321</v>
          </cell>
          <cell r="N167">
            <v>219</v>
          </cell>
          <cell r="O167">
            <v>117</v>
          </cell>
          <cell r="P167">
            <v>458</v>
          </cell>
          <cell r="Q167">
            <v>418</v>
          </cell>
          <cell r="R167">
            <v>353</v>
          </cell>
          <cell r="S167">
            <v>307</v>
          </cell>
          <cell r="T167">
            <v>261</v>
          </cell>
          <cell r="U167">
            <v>182</v>
          </cell>
          <cell r="V167">
            <v>102</v>
          </cell>
          <cell r="W167">
            <v>458</v>
          </cell>
          <cell r="X167">
            <v>418</v>
          </cell>
          <cell r="Y167">
            <v>353</v>
          </cell>
          <cell r="Z167">
            <v>307</v>
          </cell>
          <cell r="AA167">
            <v>261</v>
          </cell>
          <cell r="AB167">
            <v>182</v>
          </cell>
          <cell r="AC167">
            <v>102</v>
          </cell>
        </row>
        <row r="168">
          <cell r="A168" t="str">
            <v>12-15-22</v>
          </cell>
          <cell r="B168">
            <v>552</v>
          </cell>
          <cell r="C168">
            <v>497</v>
          </cell>
          <cell r="D168">
            <v>412</v>
          </cell>
          <cell r="E168">
            <v>354</v>
          </cell>
          <cell r="F168">
            <v>296</v>
          </cell>
          <cell r="G168">
            <v>203</v>
          </cell>
          <cell r="H168">
            <v>110</v>
          </cell>
          <cell r="I168">
            <v>552</v>
          </cell>
          <cell r="J168">
            <v>497</v>
          </cell>
          <cell r="K168">
            <v>412</v>
          </cell>
          <cell r="L168">
            <v>354</v>
          </cell>
          <cell r="M168">
            <v>296</v>
          </cell>
          <cell r="N168">
            <v>203</v>
          </cell>
          <cell r="O168">
            <v>110</v>
          </cell>
          <cell r="P168">
            <v>414</v>
          </cell>
          <cell r="Q168">
            <v>380</v>
          </cell>
          <cell r="R168">
            <v>323</v>
          </cell>
          <cell r="S168">
            <v>282</v>
          </cell>
          <cell r="T168">
            <v>240</v>
          </cell>
          <cell r="U168">
            <v>168</v>
          </cell>
          <cell r="V168">
            <v>96</v>
          </cell>
          <cell r="W168">
            <v>414</v>
          </cell>
          <cell r="X168">
            <v>380</v>
          </cell>
          <cell r="Y168">
            <v>323</v>
          </cell>
          <cell r="Z168">
            <v>282</v>
          </cell>
          <cell r="AA168">
            <v>240</v>
          </cell>
          <cell r="AB168">
            <v>168</v>
          </cell>
          <cell r="AC168">
            <v>96</v>
          </cell>
        </row>
        <row r="169">
          <cell r="A169" t="str">
            <v>12-16-22</v>
          </cell>
          <cell r="B169">
            <v>494</v>
          </cell>
          <cell r="C169">
            <v>446</v>
          </cell>
          <cell r="D169">
            <v>372</v>
          </cell>
          <cell r="E169">
            <v>322</v>
          </cell>
          <cell r="F169">
            <v>271</v>
          </cell>
          <cell r="G169">
            <v>186</v>
          </cell>
          <cell r="H169">
            <v>101</v>
          </cell>
          <cell r="I169">
            <v>494</v>
          </cell>
          <cell r="J169">
            <v>446</v>
          </cell>
          <cell r="K169">
            <v>372</v>
          </cell>
          <cell r="L169">
            <v>322</v>
          </cell>
          <cell r="M169">
            <v>271</v>
          </cell>
          <cell r="N169">
            <v>186</v>
          </cell>
          <cell r="O169">
            <v>101</v>
          </cell>
          <cell r="P169">
            <v>370</v>
          </cell>
          <cell r="Q169">
            <v>341</v>
          </cell>
          <cell r="R169">
            <v>291</v>
          </cell>
          <cell r="S169">
            <v>256</v>
          </cell>
          <cell r="T169">
            <v>220</v>
          </cell>
          <cell r="U169">
            <v>154</v>
          </cell>
          <cell r="V169">
            <v>88</v>
          </cell>
          <cell r="W169">
            <v>370</v>
          </cell>
          <cell r="X169">
            <v>341</v>
          </cell>
          <cell r="Y169">
            <v>291</v>
          </cell>
          <cell r="Z169">
            <v>256</v>
          </cell>
          <cell r="AA169">
            <v>220</v>
          </cell>
          <cell r="AB169">
            <v>154</v>
          </cell>
          <cell r="AC169">
            <v>88</v>
          </cell>
        </row>
        <row r="170">
          <cell r="A170" t="str">
            <v>12-17-22</v>
          </cell>
          <cell r="B170">
            <v>431</v>
          </cell>
          <cell r="C170">
            <v>392</v>
          </cell>
          <cell r="D170">
            <v>331</v>
          </cell>
          <cell r="E170">
            <v>287</v>
          </cell>
          <cell r="F170">
            <v>242</v>
          </cell>
          <cell r="G170">
            <v>167</v>
          </cell>
          <cell r="H170">
            <v>91</v>
          </cell>
          <cell r="I170">
            <v>431</v>
          </cell>
          <cell r="J170">
            <v>392</v>
          </cell>
          <cell r="K170">
            <v>331</v>
          </cell>
          <cell r="L170">
            <v>287</v>
          </cell>
          <cell r="M170">
            <v>242</v>
          </cell>
          <cell r="N170">
            <v>167</v>
          </cell>
          <cell r="O170">
            <v>91</v>
          </cell>
          <cell r="P170">
            <v>323</v>
          </cell>
          <cell r="Q170">
            <v>300</v>
          </cell>
          <cell r="R170">
            <v>259</v>
          </cell>
          <cell r="S170">
            <v>228</v>
          </cell>
          <cell r="T170">
            <v>197</v>
          </cell>
          <cell r="U170">
            <v>138</v>
          </cell>
          <cell r="V170">
            <v>79</v>
          </cell>
          <cell r="W170">
            <v>323</v>
          </cell>
          <cell r="X170">
            <v>300</v>
          </cell>
          <cell r="Y170">
            <v>259</v>
          </cell>
          <cell r="Z170">
            <v>228</v>
          </cell>
          <cell r="AA170">
            <v>197</v>
          </cell>
          <cell r="AB170">
            <v>138</v>
          </cell>
          <cell r="AC170">
            <v>79</v>
          </cell>
        </row>
        <row r="171">
          <cell r="A171" t="str">
            <v>13-15-22</v>
          </cell>
          <cell r="B171">
            <v>609</v>
          </cell>
          <cell r="C171">
            <v>545</v>
          </cell>
          <cell r="D171">
            <v>449</v>
          </cell>
          <cell r="E171">
            <v>385</v>
          </cell>
          <cell r="F171">
            <v>320</v>
          </cell>
          <cell r="G171">
            <v>219</v>
          </cell>
          <cell r="H171">
            <v>117</v>
          </cell>
          <cell r="I171">
            <v>609</v>
          </cell>
          <cell r="J171">
            <v>545</v>
          </cell>
          <cell r="K171">
            <v>449</v>
          </cell>
          <cell r="L171">
            <v>385</v>
          </cell>
          <cell r="M171">
            <v>320</v>
          </cell>
          <cell r="N171">
            <v>219</v>
          </cell>
          <cell r="O171">
            <v>117</v>
          </cell>
          <cell r="P171">
            <v>457</v>
          </cell>
          <cell r="Q171">
            <v>417</v>
          </cell>
          <cell r="R171">
            <v>351</v>
          </cell>
          <cell r="S171">
            <v>306</v>
          </cell>
          <cell r="T171">
            <v>260</v>
          </cell>
          <cell r="U171">
            <v>181</v>
          </cell>
          <cell r="V171">
            <v>102</v>
          </cell>
          <cell r="W171">
            <v>457</v>
          </cell>
          <cell r="X171">
            <v>417</v>
          </cell>
          <cell r="Y171">
            <v>351</v>
          </cell>
          <cell r="Z171">
            <v>306</v>
          </cell>
          <cell r="AA171">
            <v>260</v>
          </cell>
          <cell r="AB171">
            <v>181</v>
          </cell>
          <cell r="AC171">
            <v>102</v>
          </cell>
        </row>
        <row r="172">
          <cell r="A172" t="str">
            <v>13-16-22</v>
          </cell>
          <cell r="B172">
            <v>552</v>
          </cell>
          <cell r="C172">
            <v>496</v>
          </cell>
          <cell r="D172">
            <v>411</v>
          </cell>
          <cell r="E172">
            <v>354</v>
          </cell>
          <cell r="F172">
            <v>296</v>
          </cell>
          <cell r="G172">
            <v>203</v>
          </cell>
          <cell r="H172">
            <v>109</v>
          </cell>
          <cell r="I172">
            <v>552</v>
          </cell>
          <cell r="J172">
            <v>496</v>
          </cell>
          <cell r="K172">
            <v>411</v>
          </cell>
          <cell r="L172">
            <v>354</v>
          </cell>
          <cell r="M172">
            <v>296</v>
          </cell>
          <cell r="N172">
            <v>203</v>
          </cell>
          <cell r="O172">
            <v>109</v>
          </cell>
          <cell r="P172">
            <v>414</v>
          </cell>
          <cell r="Q172">
            <v>379</v>
          </cell>
          <cell r="R172">
            <v>322</v>
          </cell>
          <cell r="S172">
            <v>281</v>
          </cell>
          <cell r="T172">
            <v>240</v>
          </cell>
          <cell r="U172">
            <v>168</v>
          </cell>
          <cell r="V172">
            <v>95</v>
          </cell>
          <cell r="W172">
            <v>414</v>
          </cell>
          <cell r="X172">
            <v>379</v>
          </cell>
          <cell r="Y172">
            <v>322</v>
          </cell>
          <cell r="Z172">
            <v>281</v>
          </cell>
          <cell r="AA172">
            <v>240</v>
          </cell>
          <cell r="AB172">
            <v>168</v>
          </cell>
          <cell r="AC172">
            <v>95</v>
          </cell>
        </row>
        <row r="173">
          <cell r="A173" t="str">
            <v>13-17-22</v>
          </cell>
          <cell r="B173">
            <v>494</v>
          </cell>
          <cell r="C173">
            <v>447</v>
          </cell>
          <cell r="D173">
            <v>372</v>
          </cell>
          <cell r="E173">
            <v>322</v>
          </cell>
          <cell r="F173">
            <v>271</v>
          </cell>
          <cell r="G173">
            <v>186</v>
          </cell>
          <cell r="H173">
            <v>101</v>
          </cell>
          <cell r="I173">
            <v>494</v>
          </cell>
          <cell r="J173">
            <v>447</v>
          </cell>
          <cell r="K173">
            <v>372</v>
          </cell>
          <cell r="L173">
            <v>322</v>
          </cell>
          <cell r="M173">
            <v>271</v>
          </cell>
          <cell r="N173">
            <v>186</v>
          </cell>
          <cell r="O173">
            <v>101</v>
          </cell>
          <cell r="P173">
            <v>370</v>
          </cell>
          <cell r="Q173">
            <v>342</v>
          </cell>
          <cell r="R173">
            <v>291</v>
          </cell>
          <cell r="S173">
            <v>256</v>
          </cell>
          <cell r="T173">
            <v>220</v>
          </cell>
          <cell r="U173">
            <v>154</v>
          </cell>
          <cell r="V173">
            <v>88</v>
          </cell>
          <cell r="W173">
            <v>370</v>
          </cell>
          <cell r="X173">
            <v>342</v>
          </cell>
          <cell r="Y173">
            <v>291</v>
          </cell>
          <cell r="Z173">
            <v>256</v>
          </cell>
          <cell r="AA173">
            <v>220</v>
          </cell>
          <cell r="AB173">
            <v>154</v>
          </cell>
          <cell r="AC173">
            <v>88</v>
          </cell>
        </row>
        <row r="174">
          <cell r="A174" t="str">
            <v>13-18-22</v>
          </cell>
          <cell r="B174">
            <v>431</v>
          </cell>
          <cell r="C174">
            <v>393</v>
          </cell>
          <cell r="D174">
            <v>331</v>
          </cell>
          <cell r="E174">
            <v>287</v>
          </cell>
          <cell r="F174">
            <v>242</v>
          </cell>
          <cell r="G174">
            <v>166</v>
          </cell>
          <cell r="H174">
            <v>90</v>
          </cell>
          <cell r="I174">
            <v>431</v>
          </cell>
          <cell r="J174">
            <v>393</v>
          </cell>
          <cell r="K174">
            <v>331</v>
          </cell>
          <cell r="L174">
            <v>287</v>
          </cell>
          <cell r="M174">
            <v>242</v>
          </cell>
          <cell r="N174">
            <v>166</v>
          </cell>
          <cell r="O174">
            <v>90</v>
          </cell>
          <cell r="P174">
            <v>323</v>
          </cell>
          <cell r="Q174">
            <v>301</v>
          </cell>
          <cell r="R174">
            <v>259</v>
          </cell>
          <cell r="S174">
            <v>228</v>
          </cell>
          <cell r="T174">
            <v>197</v>
          </cell>
          <cell r="U174">
            <v>138</v>
          </cell>
          <cell r="V174">
            <v>78</v>
          </cell>
          <cell r="W174">
            <v>323</v>
          </cell>
          <cell r="X174">
            <v>301</v>
          </cell>
          <cell r="Y174">
            <v>259</v>
          </cell>
          <cell r="Z174">
            <v>228</v>
          </cell>
          <cell r="AA174">
            <v>197</v>
          </cell>
          <cell r="AB174">
            <v>138</v>
          </cell>
          <cell r="AC174">
            <v>78</v>
          </cell>
        </row>
        <row r="175">
          <cell r="A175" t="str">
            <v>14-16-22</v>
          </cell>
          <cell r="B175">
            <v>475</v>
          </cell>
          <cell r="C175">
            <v>429</v>
          </cell>
          <cell r="D175">
            <v>357</v>
          </cell>
          <cell r="E175">
            <v>308</v>
          </cell>
          <cell r="F175">
            <v>258</v>
          </cell>
          <cell r="G175">
            <v>178</v>
          </cell>
          <cell r="H175">
            <v>97</v>
          </cell>
          <cell r="I175">
            <v>475</v>
          </cell>
          <cell r="J175">
            <v>429</v>
          </cell>
          <cell r="K175">
            <v>357</v>
          </cell>
          <cell r="L175">
            <v>308</v>
          </cell>
          <cell r="M175">
            <v>258</v>
          </cell>
          <cell r="N175">
            <v>178</v>
          </cell>
          <cell r="O175">
            <v>97</v>
          </cell>
          <cell r="P175">
            <v>356</v>
          </cell>
          <cell r="Q175">
            <v>328</v>
          </cell>
          <cell r="R175">
            <v>279</v>
          </cell>
          <cell r="S175">
            <v>245</v>
          </cell>
          <cell r="T175">
            <v>210</v>
          </cell>
          <cell r="U175">
            <v>147</v>
          </cell>
          <cell r="V175">
            <v>84</v>
          </cell>
          <cell r="W175">
            <v>356</v>
          </cell>
          <cell r="X175">
            <v>328</v>
          </cell>
          <cell r="Y175">
            <v>279</v>
          </cell>
          <cell r="Z175">
            <v>245</v>
          </cell>
          <cell r="AA175">
            <v>210</v>
          </cell>
          <cell r="AB175">
            <v>147</v>
          </cell>
          <cell r="AC175">
            <v>84</v>
          </cell>
        </row>
        <row r="176">
          <cell r="A176" t="str">
            <v>14-17-22</v>
          </cell>
          <cell r="B176">
            <v>415</v>
          </cell>
          <cell r="C176">
            <v>376</v>
          </cell>
          <cell r="D176">
            <v>316</v>
          </cell>
          <cell r="E176">
            <v>274</v>
          </cell>
          <cell r="F176">
            <v>232</v>
          </cell>
          <cell r="G176">
            <v>160</v>
          </cell>
          <cell r="H176">
            <v>87</v>
          </cell>
          <cell r="I176">
            <v>415</v>
          </cell>
          <cell r="J176">
            <v>376</v>
          </cell>
          <cell r="K176">
            <v>316</v>
          </cell>
          <cell r="L176">
            <v>274</v>
          </cell>
          <cell r="M176">
            <v>232</v>
          </cell>
          <cell r="N176">
            <v>160</v>
          </cell>
          <cell r="O176">
            <v>87</v>
          </cell>
          <cell r="P176">
            <v>311</v>
          </cell>
          <cell r="Q176">
            <v>288</v>
          </cell>
          <cell r="R176">
            <v>248</v>
          </cell>
          <cell r="S176">
            <v>218</v>
          </cell>
          <cell r="T176">
            <v>188</v>
          </cell>
          <cell r="U176">
            <v>132</v>
          </cell>
          <cell r="V176">
            <v>76</v>
          </cell>
          <cell r="W176">
            <v>311</v>
          </cell>
          <cell r="X176">
            <v>288</v>
          </cell>
          <cell r="Y176">
            <v>248</v>
          </cell>
          <cell r="Z176">
            <v>218</v>
          </cell>
          <cell r="AA176">
            <v>188</v>
          </cell>
          <cell r="AB176">
            <v>132</v>
          </cell>
          <cell r="AC176">
            <v>76</v>
          </cell>
        </row>
        <row r="177">
          <cell r="A177" t="str">
            <v>15-17-22</v>
          </cell>
          <cell r="B177">
            <v>405</v>
          </cell>
          <cell r="C177">
            <v>367</v>
          </cell>
          <cell r="D177">
            <v>308</v>
          </cell>
          <cell r="E177">
            <v>266</v>
          </cell>
          <cell r="F177">
            <v>224</v>
          </cell>
          <cell r="G177">
            <v>155</v>
          </cell>
          <cell r="H177">
            <v>85</v>
          </cell>
          <cell r="I177">
            <v>405</v>
          </cell>
          <cell r="J177">
            <v>367</v>
          </cell>
          <cell r="K177">
            <v>308</v>
          </cell>
          <cell r="L177">
            <v>266</v>
          </cell>
          <cell r="M177">
            <v>224</v>
          </cell>
          <cell r="N177">
            <v>155</v>
          </cell>
          <cell r="O177">
            <v>85</v>
          </cell>
          <cell r="P177">
            <v>303</v>
          </cell>
          <cell r="Q177">
            <v>281</v>
          </cell>
          <cell r="R177">
            <v>241</v>
          </cell>
          <cell r="S177">
            <v>212</v>
          </cell>
          <cell r="T177">
            <v>182</v>
          </cell>
          <cell r="U177">
            <v>128</v>
          </cell>
          <cell r="V177">
            <v>74</v>
          </cell>
          <cell r="W177">
            <v>303</v>
          </cell>
          <cell r="X177">
            <v>281</v>
          </cell>
          <cell r="Y177">
            <v>241</v>
          </cell>
          <cell r="Z177">
            <v>212</v>
          </cell>
          <cell r="AA177">
            <v>182</v>
          </cell>
          <cell r="AB177">
            <v>128</v>
          </cell>
          <cell r="AC177">
            <v>74</v>
          </cell>
        </row>
        <row r="178">
          <cell r="A178" t="str">
            <v>4-6-23</v>
          </cell>
          <cell r="B178">
            <v>1545</v>
          </cell>
          <cell r="C178">
            <v>1347</v>
          </cell>
          <cell r="D178">
            <v>1092</v>
          </cell>
          <cell r="E178">
            <v>930</v>
          </cell>
          <cell r="F178">
            <v>767</v>
          </cell>
          <cell r="G178">
            <v>531</v>
          </cell>
          <cell r="H178">
            <v>295</v>
          </cell>
          <cell r="I178">
            <v>1118</v>
          </cell>
          <cell r="J178">
            <v>966</v>
          </cell>
          <cell r="K178">
            <v>778</v>
          </cell>
          <cell r="L178">
            <v>660</v>
          </cell>
          <cell r="M178">
            <v>541</v>
          </cell>
          <cell r="N178">
            <v>374</v>
          </cell>
          <cell r="O178">
            <v>207</v>
          </cell>
          <cell r="P178">
            <v>1158</v>
          </cell>
          <cell r="Q178">
            <v>1031</v>
          </cell>
          <cell r="R178">
            <v>855</v>
          </cell>
          <cell r="S178">
            <v>739</v>
          </cell>
          <cell r="T178">
            <v>623</v>
          </cell>
          <cell r="U178">
            <v>440</v>
          </cell>
          <cell r="V178">
            <v>257</v>
          </cell>
          <cell r="W178">
            <v>838</v>
          </cell>
          <cell r="X178">
            <v>740</v>
          </cell>
          <cell r="Y178">
            <v>609</v>
          </cell>
          <cell r="Z178">
            <v>525</v>
          </cell>
          <cell r="AA178">
            <v>440</v>
          </cell>
          <cell r="AB178">
            <v>310</v>
          </cell>
          <cell r="AC178">
            <v>180</v>
          </cell>
        </row>
        <row r="179">
          <cell r="A179" t="str">
            <v>4-7-23</v>
          </cell>
          <cell r="B179">
            <v>1430</v>
          </cell>
          <cell r="C179">
            <v>1253</v>
          </cell>
          <cell r="D179">
            <v>1020</v>
          </cell>
          <cell r="E179">
            <v>870</v>
          </cell>
          <cell r="F179">
            <v>720</v>
          </cell>
          <cell r="G179">
            <v>498</v>
          </cell>
          <cell r="H179">
            <v>276</v>
          </cell>
          <cell r="I179">
            <v>1066</v>
          </cell>
          <cell r="J179">
            <v>925</v>
          </cell>
          <cell r="K179">
            <v>746</v>
          </cell>
          <cell r="L179">
            <v>634</v>
          </cell>
          <cell r="M179">
            <v>521</v>
          </cell>
          <cell r="N179">
            <v>359</v>
          </cell>
          <cell r="O179">
            <v>197</v>
          </cell>
          <cell r="P179">
            <v>1072</v>
          </cell>
          <cell r="Q179">
            <v>959</v>
          </cell>
          <cell r="R179">
            <v>798</v>
          </cell>
          <cell r="S179">
            <v>691</v>
          </cell>
          <cell r="T179">
            <v>584</v>
          </cell>
          <cell r="U179">
            <v>413</v>
          </cell>
          <cell r="V179">
            <v>241</v>
          </cell>
          <cell r="W179">
            <v>799</v>
          </cell>
          <cell r="X179">
            <v>708</v>
          </cell>
          <cell r="Y179">
            <v>584</v>
          </cell>
          <cell r="Z179">
            <v>503</v>
          </cell>
          <cell r="AA179">
            <v>422</v>
          </cell>
          <cell r="AB179">
            <v>297</v>
          </cell>
          <cell r="AC179">
            <v>172</v>
          </cell>
        </row>
        <row r="180">
          <cell r="A180" t="str">
            <v>4-8-23</v>
          </cell>
          <cell r="B180">
            <v>1312</v>
          </cell>
          <cell r="C180">
            <v>1156</v>
          </cell>
          <cell r="D180">
            <v>944</v>
          </cell>
          <cell r="E180">
            <v>806</v>
          </cell>
          <cell r="F180">
            <v>668</v>
          </cell>
          <cell r="G180">
            <v>462</v>
          </cell>
          <cell r="H180">
            <v>256</v>
          </cell>
          <cell r="I180">
            <v>1016</v>
          </cell>
          <cell r="J180">
            <v>885</v>
          </cell>
          <cell r="K180">
            <v>713</v>
          </cell>
          <cell r="L180">
            <v>606</v>
          </cell>
          <cell r="M180">
            <v>498</v>
          </cell>
          <cell r="N180">
            <v>343</v>
          </cell>
          <cell r="O180">
            <v>188</v>
          </cell>
          <cell r="P180">
            <v>984</v>
          </cell>
          <cell r="Q180">
            <v>884</v>
          </cell>
          <cell r="R180">
            <v>739</v>
          </cell>
          <cell r="S180">
            <v>641</v>
          </cell>
          <cell r="T180">
            <v>543</v>
          </cell>
          <cell r="U180">
            <v>383</v>
          </cell>
          <cell r="V180">
            <v>223</v>
          </cell>
          <cell r="W180">
            <v>762</v>
          </cell>
          <cell r="X180">
            <v>677</v>
          </cell>
          <cell r="Y180">
            <v>558</v>
          </cell>
          <cell r="Z180">
            <v>481</v>
          </cell>
          <cell r="AA180">
            <v>404</v>
          </cell>
          <cell r="AB180">
            <v>284</v>
          </cell>
          <cell r="AC180">
            <v>164</v>
          </cell>
        </row>
        <row r="181">
          <cell r="A181" t="str">
            <v>4-9-23</v>
          </cell>
          <cell r="B181">
            <v>1190</v>
          </cell>
          <cell r="C181">
            <v>1053</v>
          </cell>
          <cell r="D181">
            <v>867</v>
          </cell>
          <cell r="E181">
            <v>742</v>
          </cell>
          <cell r="F181">
            <v>616</v>
          </cell>
          <cell r="G181">
            <v>426</v>
          </cell>
          <cell r="H181">
            <v>235</v>
          </cell>
          <cell r="I181">
            <v>964</v>
          </cell>
          <cell r="J181">
            <v>841</v>
          </cell>
          <cell r="K181">
            <v>682</v>
          </cell>
          <cell r="L181">
            <v>580</v>
          </cell>
          <cell r="M181">
            <v>477</v>
          </cell>
          <cell r="N181">
            <v>328</v>
          </cell>
          <cell r="O181">
            <v>179</v>
          </cell>
          <cell r="P181">
            <v>892</v>
          </cell>
          <cell r="Q181">
            <v>806</v>
          </cell>
          <cell r="R181">
            <v>678</v>
          </cell>
          <cell r="S181">
            <v>589</v>
          </cell>
          <cell r="T181">
            <v>500</v>
          </cell>
          <cell r="U181">
            <v>353</v>
          </cell>
          <cell r="V181">
            <v>205</v>
          </cell>
          <cell r="W181">
            <v>723</v>
          </cell>
          <cell r="X181">
            <v>644</v>
          </cell>
          <cell r="Y181">
            <v>533</v>
          </cell>
          <cell r="Z181">
            <v>460</v>
          </cell>
          <cell r="AA181">
            <v>387</v>
          </cell>
          <cell r="AB181">
            <v>272</v>
          </cell>
          <cell r="AC181">
            <v>156</v>
          </cell>
        </row>
        <row r="182">
          <cell r="A182" t="str">
            <v>4-10-23</v>
          </cell>
          <cell r="B182">
            <v>1070</v>
          </cell>
          <cell r="C182">
            <v>943</v>
          </cell>
          <cell r="D182">
            <v>780</v>
          </cell>
          <cell r="E182">
            <v>669</v>
          </cell>
          <cell r="F182">
            <v>557</v>
          </cell>
          <cell r="G182">
            <v>384</v>
          </cell>
          <cell r="H182">
            <v>211</v>
          </cell>
          <cell r="I182">
            <v>920</v>
          </cell>
          <cell r="J182">
            <v>797</v>
          </cell>
          <cell r="K182">
            <v>647</v>
          </cell>
          <cell r="L182">
            <v>550</v>
          </cell>
          <cell r="M182">
            <v>453</v>
          </cell>
          <cell r="N182">
            <v>311</v>
          </cell>
          <cell r="O182">
            <v>169</v>
          </cell>
          <cell r="P182">
            <v>802</v>
          </cell>
          <cell r="Q182">
            <v>722</v>
          </cell>
          <cell r="R182">
            <v>611</v>
          </cell>
          <cell r="S182">
            <v>532</v>
          </cell>
          <cell r="T182">
            <v>452</v>
          </cell>
          <cell r="U182">
            <v>318</v>
          </cell>
          <cell r="V182">
            <v>184</v>
          </cell>
          <cell r="W182">
            <v>690</v>
          </cell>
          <cell r="X182">
            <v>610</v>
          </cell>
          <cell r="Y182">
            <v>507</v>
          </cell>
          <cell r="Z182">
            <v>438</v>
          </cell>
          <cell r="AA182">
            <v>368</v>
          </cell>
          <cell r="AB182">
            <v>258</v>
          </cell>
          <cell r="AC182">
            <v>147</v>
          </cell>
        </row>
        <row r="183">
          <cell r="A183" t="str">
            <v>4-11-23</v>
          </cell>
          <cell r="B183">
            <v>927</v>
          </cell>
          <cell r="C183">
            <v>824</v>
          </cell>
          <cell r="D183">
            <v>685</v>
          </cell>
          <cell r="E183">
            <v>588</v>
          </cell>
          <cell r="F183">
            <v>491</v>
          </cell>
          <cell r="G183">
            <v>339</v>
          </cell>
          <cell r="H183">
            <v>186</v>
          </cell>
          <cell r="I183">
            <v>864</v>
          </cell>
          <cell r="J183">
            <v>752</v>
          </cell>
          <cell r="K183">
            <v>611</v>
          </cell>
          <cell r="L183">
            <v>519</v>
          </cell>
          <cell r="M183">
            <v>427</v>
          </cell>
          <cell r="N183">
            <v>293</v>
          </cell>
          <cell r="O183">
            <v>159</v>
          </cell>
          <cell r="P183">
            <v>695</v>
          </cell>
          <cell r="Q183">
            <v>630</v>
          </cell>
          <cell r="R183">
            <v>536</v>
          </cell>
          <cell r="S183">
            <v>468</v>
          </cell>
          <cell r="T183">
            <v>399</v>
          </cell>
          <cell r="U183">
            <v>281</v>
          </cell>
          <cell r="V183">
            <v>162</v>
          </cell>
          <cell r="W183">
            <v>648</v>
          </cell>
          <cell r="X183">
            <v>575</v>
          </cell>
          <cell r="Y183">
            <v>478</v>
          </cell>
          <cell r="Z183">
            <v>413</v>
          </cell>
          <cell r="AA183">
            <v>347</v>
          </cell>
          <cell r="AB183">
            <v>243</v>
          </cell>
          <cell r="AC183">
            <v>139</v>
          </cell>
        </row>
        <row r="184">
          <cell r="A184" t="str">
            <v>4-12-23</v>
          </cell>
          <cell r="B184">
            <v>839</v>
          </cell>
          <cell r="C184">
            <v>745</v>
          </cell>
          <cell r="D184">
            <v>601</v>
          </cell>
          <cell r="E184">
            <v>512</v>
          </cell>
          <cell r="F184">
            <v>422</v>
          </cell>
          <cell r="G184">
            <v>289</v>
          </cell>
          <cell r="H184">
            <v>156</v>
          </cell>
          <cell r="I184">
            <v>839</v>
          </cell>
          <cell r="J184">
            <v>745</v>
          </cell>
          <cell r="K184">
            <v>601</v>
          </cell>
          <cell r="L184">
            <v>512</v>
          </cell>
          <cell r="M184">
            <v>422</v>
          </cell>
          <cell r="N184">
            <v>289</v>
          </cell>
          <cell r="O184">
            <v>156</v>
          </cell>
          <cell r="P184">
            <v>629</v>
          </cell>
          <cell r="Q184">
            <v>570</v>
          </cell>
          <cell r="R184">
            <v>471</v>
          </cell>
          <cell r="S184">
            <v>407</v>
          </cell>
          <cell r="T184">
            <v>343</v>
          </cell>
          <cell r="U184">
            <v>240</v>
          </cell>
          <cell r="V184">
            <v>136</v>
          </cell>
          <cell r="W184">
            <v>629</v>
          </cell>
          <cell r="X184">
            <v>570</v>
          </cell>
          <cell r="Y184">
            <v>471</v>
          </cell>
          <cell r="Z184">
            <v>407</v>
          </cell>
          <cell r="AA184">
            <v>343</v>
          </cell>
          <cell r="AB184">
            <v>240</v>
          </cell>
          <cell r="AC184">
            <v>136</v>
          </cell>
        </row>
        <row r="185">
          <cell r="A185" t="str">
            <v>5-7-23</v>
          </cell>
          <cell r="B185">
            <v>1428</v>
          </cell>
          <cell r="C185">
            <v>1249</v>
          </cell>
          <cell r="D185">
            <v>1014</v>
          </cell>
          <cell r="E185">
            <v>864</v>
          </cell>
          <cell r="F185">
            <v>713</v>
          </cell>
          <cell r="G185">
            <v>493</v>
          </cell>
          <cell r="H185">
            <v>273</v>
          </cell>
          <cell r="I185">
            <v>1066</v>
          </cell>
          <cell r="J185">
            <v>924</v>
          </cell>
          <cell r="K185">
            <v>743</v>
          </cell>
          <cell r="L185">
            <v>631</v>
          </cell>
          <cell r="M185">
            <v>518</v>
          </cell>
          <cell r="N185">
            <v>357</v>
          </cell>
          <cell r="O185">
            <v>196</v>
          </cell>
          <cell r="P185">
            <v>1070</v>
          </cell>
          <cell r="Q185">
            <v>956</v>
          </cell>
          <cell r="R185">
            <v>793</v>
          </cell>
          <cell r="S185">
            <v>686</v>
          </cell>
          <cell r="T185">
            <v>579</v>
          </cell>
          <cell r="U185">
            <v>409</v>
          </cell>
          <cell r="V185">
            <v>238</v>
          </cell>
          <cell r="W185">
            <v>799</v>
          </cell>
          <cell r="X185">
            <v>707</v>
          </cell>
          <cell r="Y185">
            <v>581</v>
          </cell>
          <cell r="Z185">
            <v>501</v>
          </cell>
          <cell r="AA185">
            <v>420</v>
          </cell>
          <cell r="AB185">
            <v>296</v>
          </cell>
          <cell r="AC185">
            <v>171</v>
          </cell>
        </row>
        <row r="186">
          <cell r="A186" t="str">
            <v>5-8-23</v>
          </cell>
          <cell r="B186">
            <v>1308</v>
          </cell>
          <cell r="C186">
            <v>1150</v>
          </cell>
          <cell r="D186">
            <v>938</v>
          </cell>
          <cell r="E186">
            <v>801</v>
          </cell>
          <cell r="F186">
            <v>663</v>
          </cell>
          <cell r="G186">
            <v>458</v>
          </cell>
          <cell r="H186">
            <v>253</v>
          </cell>
          <cell r="I186">
            <v>1014</v>
          </cell>
          <cell r="J186">
            <v>882</v>
          </cell>
          <cell r="K186">
            <v>710</v>
          </cell>
          <cell r="L186">
            <v>603</v>
          </cell>
          <cell r="M186">
            <v>496</v>
          </cell>
          <cell r="N186">
            <v>342</v>
          </cell>
          <cell r="O186">
            <v>187</v>
          </cell>
          <cell r="P186">
            <v>980</v>
          </cell>
          <cell r="Q186">
            <v>880</v>
          </cell>
          <cell r="R186">
            <v>735</v>
          </cell>
          <cell r="S186">
            <v>637</v>
          </cell>
          <cell r="T186">
            <v>539</v>
          </cell>
          <cell r="U186">
            <v>380</v>
          </cell>
          <cell r="V186">
            <v>220</v>
          </cell>
          <cell r="W186">
            <v>760</v>
          </cell>
          <cell r="X186">
            <v>675</v>
          </cell>
          <cell r="Y186">
            <v>557</v>
          </cell>
          <cell r="Z186">
            <v>480</v>
          </cell>
          <cell r="AA186">
            <v>403</v>
          </cell>
          <cell r="AB186">
            <v>283</v>
          </cell>
          <cell r="AC186">
            <v>163</v>
          </cell>
        </row>
        <row r="187">
          <cell r="A187" t="str">
            <v>5-9-23</v>
          </cell>
          <cell r="B187">
            <v>1185</v>
          </cell>
          <cell r="C187">
            <v>1047</v>
          </cell>
          <cell r="D187">
            <v>860</v>
          </cell>
          <cell r="E187">
            <v>735</v>
          </cell>
          <cell r="F187">
            <v>610</v>
          </cell>
          <cell r="G187">
            <v>421</v>
          </cell>
          <cell r="H187">
            <v>232</v>
          </cell>
          <cell r="I187">
            <v>963</v>
          </cell>
          <cell r="J187">
            <v>839</v>
          </cell>
          <cell r="K187">
            <v>678</v>
          </cell>
          <cell r="L187">
            <v>576</v>
          </cell>
          <cell r="M187">
            <v>473</v>
          </cell>
          <cell r="N187">
            <v>325</v>
          </cell>
          <cell r="O187">
            <v>177</v>
          </cell>
          <cell r="P187">
            <v>888</v>
          </cell>
          <cell r="Q187">
            <v>801</v>
          </cell>
          <cell r="R187">
            <v>673</v>
          </cell>
          <cell r="S187">
            <v>585</v>
          </cell>
          <cell r="T187">
            <v>496</v>
          </cell>
          <cell r="U187">
            <v>349</v>
          </cell>
          <cell r="V187">
            <v>202</v>
          </cell>
          <cell r="W187">
            <v>722</v>
          </cell>
          <cell r="X187">
            <v>641</v>
          </cell>
          <cell r="Y187">
            <v>530</v>
          </cell>
          <cell r="Z187">
            <v>458</v>
          </cell>
          <cell r="AA187">
            <v>385</v>
          </cell>
          <cell r="AB187">
            <v>270</v>
          </cell>
          <cell r="AC187">
            <v>154</v>
          </cell>
        </row>
        <row r="188">
          <cell r="A188" t="str">
            <v>5-10-23</v>
          </cell>
          <cell r="B188">
            <v>1068</v>
          </cell>
          <cell r="C188">
            <v>940</v>
          </cell>
          <cell r="D188">
            <v>776</v>
          </cell>
          <cell r="E188">
            <v>665</v>
          </cell>
          <cell r="F188">
            <v>554</v>
          </cell>
          <cell r="G188">
            <v>383</v>
          </cell>
          <cell r="H188">
            <v>211</v>
          </cell>
          <cell r="I188">
            <v>920</v>
          </cell>
          <cell r="J188">
            <v>796</v>
          </cell>
          <cell r="K188">
            <v>646</v>
          </cell>
          <cell r="L188">
            <v>549</v>
          </cell>
          <cell r="M188">
            <v>451</v>
          </cell>
          <cell r="N188">
            <v>310</v>
          </cell>
          <cell r="O188">
            <v>168</v>
          </cell>
          <cell r="P188">
            <v>800</v>
          </cell>
          <cell r="Q188">
            <v>719</v>
          </cell>
          <cell r="R188">
            <v>608</v>
          </cell>
          <cell r="S188">
            <v>529</v>
          </cell>
          <cell r="T188">
            <v>450</v>
          </cell>
          <cell r="U188">
            <v>317</v>
          </cell>
          <cell r="V188">
            <v>183</v>
          </cell>
          <cell r="W188">
            <v>689</v>
          </cell>
          <cell r="X188">
            <v>609</v>
          </cell>
          <cell r="Y188">
            <v>506</v>
          </cell>
          <cell r="Z188">
            <v>437</v>
          </cell>
          <cell r="AA188">
            <v>367</v>
          </cell>
          <cell r="AB188">
            <v>257</v>
          </cell>
          <cell r="AC188">
            <v>146</v>
          </cell>
        </row>
        <row r="189">
          <cell r="A189" t="str">
            <v>5-11-23</v>
          </cell>
          <cell r="B189">
            <v>925</v>
          </cell>
          <cell r="C189">
            <v>822</v>
          </cell>
          <cell r="D189">
            <v>683</v>
          </cell>
          <cell r="E189">
            <v>586</v>
          </cell>
          <cell r="F189">
            <v>489</v>
          </cell>
          <cell r="G189">
            <v>338</v>
          </cell>
          <cell r="H189">
            <v>186</v>
          </cell>
          <cell r="I189">
            <v>864</v>
          </cell>
          <cell r="J189">
            <v>751</v>
          </cell>
          <cell r="K189">
            <v>610</v>
          </cell>
          <cell r="L189">
            <v>519</v>
          </cell>
          <cell r="M189">
            <v>428</v>
          </cell>
          <cell r="N189">
            <v>294</v>
          </cell>
          <cell r="O189">
            <v>159</v>
          </cell>
          <cell r="P189">
            <v>694</v>
          </cell>
          <cell r="Q189">
            <v>629</v>
          </cell>
          <cell r="R189">
            <v>534</v>
          </cell>
          <cell r="S189">
            <v>466</v>
          </cell>
          <cell r="T189">
            <v>397</v>
          </cell>
          <cell r="U189">
            <v>280</v>
          </cell>
          <cell r="V189">
            <v>162</v>
          </cell>
          <cell r="W189">
            <v>648</v>
          </cell>
          <cell r="X189">
            <v>575</v>
          </cell>
          <cell r="Y189">
            <v>477</v>
          </cell>
          <cell r="Z189">
            <v>412</v>
          </cell>
          <cell r="AA189">
            <v>347</v>
          </cell>
          <cell r="AB189">
            <v>243</v>
          </cell>
          <cell r="AC189">
            <v>139</v>
          </cell>
        </row>
        <row r="190">
          <cell r="A190" t="str">
            <v>5-12-23</v>
          </cell>
          <cell r="B190">
            <v>833</v>
          </cell>
          <cell r="C190">
            <v>741</v>
          </cell>
          <cell r="D190">
            <v>597</v>
          </cell>
          <cell r="E190">
            <v>508</v>
          </cell>
          <cell r="F190">
            <v>419</v>
          </cell>
          <cell r="G190">
            <v>288</v>
          </cell>
          <cell r="H190">
            <v>156</v>
          </cell>
          <cell r="I190">
            <v>833</v>
          </cell>
          <cell r="J190">
            <v>741</v>
          </cell>
          <cell r="K190">
            <v>597</v>
          </cell>
          <cell r="L190">
            <v>508</v>
          </cell>
          <cell r="M190">
            <v>419</v>
          </cell>
          <cell r="N190">
            <v>288</v>
          </cell>
          <cell r="O190">
            <v>156</v>
          </cell>
          <cell r="P190">
            <v>625</v>
          </cell>
          <cell r="Q190">
            <v>567</v>
          </cell>
          <cell r="R190">
            <v>468</v>
          </cell>
          <cell r="S190">
            <v>404</v>
          </cell>
          <cell r="T190">
            <v>340</v>
          </cell>
          <cell r="U190">
            <v>238</v>
          </cell>
          <cell r="V190">
            <v>136</v>
          </cell>
          <cell r="W190">
            <v>625</v>
          </cell>
          <cell r="X190">
            <v>567</v>
          </cell>
          <cell r="Y190">
            <v>468</v>
          </cell>
          <cell r="Z190">
            <v>404</v>
          </cell>
          <cell r="AA190">
            <v>340</v>
          </cell>
          <cell r="AB190">
            <v>238</v>
          </cell>
          <cell r="AC190">
            <v>136</v>
          </cell>
        </row>
        <row r="191">
          <cell r="A191" t="str">
            <v>5-13-23</v>
          </cell>
          <cell r="B191">
            <v>778</v>
          </cell>
          <cell r="C191">
            <v>694</v>
          </cell>
          <cell r="D191">
            <v>564</v>
          </cell>
          <cell r="E191">
            <v>480</v>
          </cell>
          <cell r="F191">
            <v>396</v>
          </cell>
          <cell r="G191">
            <v>272</v>
          </cell>
          <cell r="H191">
            <v>147</v>
          </cell>
          <cell r="I191">
            <v>778</v>
          </cell>
          <cell r="J191">
            <v>694</v>
          </cell>
          <cell r="K191">
            <v>564</v>
          </cell>
          <cell r="L191">
            <v>480</v>
          </cell>
          <cell r="M191">
            <v>396</v>
          </cell>
          <cell r="N191">
            <v>272</v>
          </cell>
          <cell r="O191">
            <v>147</v>
          </cell>
          <cell r="P191">
            <v>583</v>
          </cell>
          <cell r="Q191">
            <v>531</v>
          </cell>
          <cell r="R191">
            <v>441</v>
          </cell>
          <cell r="S191">
            <v>382</v>
          </cell>
          <cell r="T191">
            <v>322</v>
          </cell>
          <cell r="U191">
            <v>225</v>
          </cell>
          <cell r="V191">
            <v>128</v>
          </cell>
          <cell r="W191">
            <v>583</v>
          </cell>
          <cell r="X191">
            <v>531</v>
          </cell>
          <cell r="Y191">
            <v>441</v>
          </cell>
          <cell r="Z191">
            <v>382</v>
          </cell>
          <cell r="AA191">
            <v>322</v>
          </cell>
          <cell r="AB191">
            <v>225</v>
          </cell>
          <cell r="AC191">
            <v>128</v>
          </cell>
        </row>
        <row r="192">
          <cell r="A192" t="str">
            <v>6-8-23</v>
          </cell>
          <cell r="B192">
            <v>1305</v>
          </cell>
          <cell r="C192">
            <v>1146</v>
          </cell>
          <cell r="D192">
            <v>932</v>
          </cell>
          <cell r="E192">
            <v>795</v>
          </cell>
          <cell r="F192">
            <v>657</v>
          </cell>
          <cell r="G192">
            <v>454</v>
          </cell>
          <cell r="H192">
            <v>250</v>
          </cell>
          <cell r="I192">
            <v>1013</v>
          </cell>
          <cell r="J192">
            <v>880</v>
          </cell>
          <cell r="K192">
            <v>708</v>
          </cell>
          <cell r="L192">
            <v>601</v>
          </cell>
          <cell r="M192">
            <v>494</v>
          </cell>
          <cell r="N192">
            <v>340</v>
          </cell>
          <cell r="O192">
            <v>186</v>
          </cell>
          <cell r="P192">
            <v>978</v>
          </cell>
          <cell r="Q192">
            <v>876</v>
          </cell>
          <cell r="R192">
            <v>730</v>
          </cell>
          <cell r="S192">
            <v>632</v>
          </cell>
          <cell r="T192">
            <v>534</v>
          </cell>
          <cell r="U192">
            <v>376</v>
          </cell>
          <cell r="V192">
            <v>217</v>
          </cell>
          <cell r="W192">
            <v>760</v>
          </cell>
          <cell r="X192">
            <v>673</v>
          </cell>
          <cell r="Y192">
            <v>555</v>
          </cell>
          <cell r="Z192">
            <v>479</v>
          </cell>
          <cell r="AA192">
            <v>402</v>
          </cell>
          <cell r="AB192">
            <v>282</v>
          </cell>
          <cell r="AC192">
            <v>161</v>
          </cell>
        </row>
        <row r="193">
          <cell r="A193" t="str">
            <v>6-9-23</v>
          </cell>
          <cell r="B193">
            <v>1181</v>
          </cell>
          <cell r="C193">
            <v>1042</v>
          </cell>
          <cell r="D193">
            <v>853</v>
          </cell>
          <cell r="E193">
            <v>729</v>
          </cell>
          <cell r="F193">
            <v>604</v>
          </cell>
          <cell r="G193">
            <v>417</v>
          </cell>
          <cell r="H193">
            <v>229</v>
          </cell>
          <cell r="I193">
            <v>962</v>
          </cell>
          <cell r="J193">
            <v>838</v>
          </cell>
          <cell r="K193">
            <v>677</v>
          </cell>
          <cell r="L193">
            <v>574</v>
          </cell>
          <cell r="M193">
            <v>471</v>
          </cell>
          <cell r="N193">
            <v>324</v>
          </cell>
          <cell r="O193">
            <v>176</v>
          </cell>
          <cell r="P193">
            <v>885</v>
          </cell>
          <cell r="Q193">
            <v>797</v>
          </cell>
          <cell r="R193">
            <v>668</v>
          </cell>
          <cell r="S193">
            <v>580</v>
          </cell>
          <cell r="T193">
            <v>491</v>
          </cell>
          <cell r="U193">
            <v>345</v>
          </cell>
          <cell r="V193">
            <v>199</v>
          </cell>
          <cell r="W193">
            <v>721</v>
          </cell>
          <cell r="X193">
            <v>641</v>
          </cell>
          <cell r="Y193">
            <v>530</v>
          </cell>
          <cell r="Z193">
            <v>457</v>
          </cell>
          <cell r="AA193">
            <v>383</v>
          </cell>
          <cell r="AB193">
            <v>268</v>
          </cell>
          <cell r="AC193">
            <v>153</v>
          </cell>
        </row>
        <row r="194">
          <cell r="A194" t="str">
            <v>6-10-23</v>
          </cell>
          <cell r="B194">
            <v>1061</v>
          </cell>
          <cell r="C194">
            <v>933</v>
          </cell>
          <cell r="D194">
            <v>771</v>
          </cell>
          <cell r="E194">
            <v>660</v>
          </cell>
          <cell r="F194">
            <v>548</v>
          </cell>
          <cell r="G194">
            <v>378</v>
          </cell>
          <cell r="H194">
            <v>208</v>
          </cell>
          <cell r="I194">
            <v>917</v>
          </cell>
          <cell r="J194">
            <v>794</v>
          </cell>
          <cell r="K194">
            <v>643</v>
          </cell>
          <cell r="L194">
            <v>547</v>
          </cell>
          <cell r="M194">
            <v>450</v>
          </cell>
          <cell r="N194">
            <v>309</v>
          </cell>
          <cell r="O194">
            <v>167</v>
          </cell>
          <cell r="P194">
            <v>795</v>
          </cell>
          <cell r="Q194">
            <v>714</v>
          </cell>
          <cell r="R194">
            <v>603</v>
          </cell>
          <cell r="S194">
            <v>524</v>
          </cell>
          <cell r="T194">
            <v>445</v>
          </cell>
          <cell r="U194">
            <v>313</v>
          </cell>
          <cell r="V194">
            <v>181</v>
          </cell>
          <cell r="W194">
            <v>687</v>
          </cell>
          <cell r="X194">
            <v>608</v>
          </cell>
          <cell r="Y194">
            <v>503</v>
          </cell>
          <cell r="Z194">
            <v>435</v>
          </cell>
          <cell r="AA194">
            <v>366</v>
          </cell>
          <cell r="AB194">
            <v>256</v>
          </cell>
          <cell r="AC194">
            <v>146</v>
          </cell>
        </row>
        <row r="195">
          <cell r="A195" t="str">
            <v>6-11-23</v>
          </cell>
          <cell r="B195">
            <v>922</v>
          </cell>
          <cell r="C195">
            <v>818</v>
          </cell>
          <cell r="D195">
            <v>679</v>
          </cell>
          <cell r="E195">
            <v>583</v>
          </cell>
          <cell r="F195">
            <v>486</v>
          </cell>
          <cell r="G195">
            <v>335</v>
          </cell>
          <cell r="H195">
            <v>184</v>
          </cell>
          <cell r="I195">
            <v>863</v>
          </cell>
          <cell r="J195">
            <v>750</v>
          </cell>
          <cell r="K195">
            <v>610</v>
          </cell>
          <cell r="L195">
            <v>518</v>
          </cell>
          <cell r="M195">
            <v>426</v>
          </cell>
          <cell r="N195">
            <v>292</v>
          </cell>
          <cell r="O195">
            <v>157</v>
          </cell>
          <cell r="P195">
            <v>691</v>
          </cell>
          <cell r="Q195">
            <v>626</v>
          </cell>
          <cell r="R195">
            <v>532</v>
          </cell>
          <cell r="S195">
            <v>464</v>
          </cell>
          <cell r="T195">
            <v>395</v>
          </cell>
          <cell r="U195">
            <v>278</v>
          </cell>
          <cell r="V195">
            <v>160</v>
          </cell>
          <cell r="W195">
            <v>647</v>
          </cell>
          <cell r="X195">
            <v>574</v>
          </cell>
          <cell r="Y195">
            <v>478</v>
          </cell>
          <cell r="Z195">
            <v>412</v>
          </cell>
          <cell r="AA195">
            <v>346</v>
          </cell>
          <cell r="AB195">
            <v>242</v>
          </cell>
          <cell r="AC195">
            <v>137</v>
          </cell>
        </row>
        <row r="196">
          <cell r="A196" t="str">
            <v>6-12-23</v>
          </cell>
          <cell r="B196">
            <v>828</v>
          </cell>
          <cell r="C196">
            <v>735</v>
          </cell>
          <cell r="D196">
            <v>592</v>
          </cell>
          <cell r="E196">
            <v>504</v>
          </cell>
          <cell r="F196">
            <v>415</v>
          </cell>
          <cell r="G196">
            <v>285</v>
          </cell>
          <cell r="H196">
            <v>154</v>
          </cell>
          <cell r="I196">
            <v>828</v>
          </cell>
          <cell r="J196">
            <v>735</v>
          </cell>
          <cell r="K196">
            <v>592</v>
          </cell>
          <cell r="L196">
            <v>504</v>
          </cell>
          <cell r="M196">
            <v>415</v>
          </cell>
          <cell r="N196">
            <v>285</v>
          </cell>
          <cell r="O196">
            <v>154</v>
          </cell>
          <cell r="P196">
            <v>621</v>
          </cell>
          <cell r="Q196">
            <v>562</v>
          </cell>
          <cell r="R196">
            <v>464</v>
          </cell>
          <cell r="S196">
            <v>401</v>
          </cell>
          <cell r="T196">
            <v>337</v>
          </cell>
          <cell r="U196">
            <v>236</v>
          </cell>
          <cell r="V196">
            <v>134</v>
          </cell>
          <cell r="W196">
            <v>621</v>
          </cell>
          <cell r="X196">
            <v>562</v>
          </cell>
          <cell r="Y196">
            <v>464</v>
          </cell>
          <cell r="Z196">
            <v>401</v>
          </cell>
          <cell r="AA196">
            <v>337</v>
          </cell>
          <cell r="AB196">
            <v>236</v>
          </cell>
          <cell r="AC196">
            <v>134</v>
          </cell>
        </row>
        <row r="197">
          <cell r="A197" t="str">
            <v>6-13-23</v>
          </cell>
          <cell r="B197">
            <v>774</v>
          </cell>
          <cell r="C197">
            <v>690</v>
          </cell>
          <cell r="D197">
            <v>559</v>
          </cell>
          <cell r="E197">
            <v>477</v>
          </cell>
          <cell r="F197">
            <v>394</v>
          </cell>
          <cell r="G197">
            <v>271</v>
          </cell>
          <cell r="H197">
            <v>147</v>
          </cell>
          <cell r="I197">
            <v>774</v>
          </cell>
          <cell r="J197">
            <v>690</v>
          </cell>
          <cell r="K197">
            <v>559</v>
          </cell>
          <cell r="L197">
            <v>477</v>
          </cell>
          <cell r="M197">
            <v>394</v>
          </cell>
          <cell r="N197">
            <v>271</v>
          </cell>
          <cell r="O197">
            <v>147</v>
          </cell>
          <cell r="P197">
            <v>580</v>
          </cell>
          <cell r="Q197">
            <v>528</v>
          </cell>
          <cell r="R197">
            <v>437</v>
          </cell>
          <cell r="S197">
            <v>379</v>
          </cell>
          <cell r="T197">
            <v>320</v>
          </cell>
          <cell r="U197">
            <v>224</v>
          </cell>
          <cell r="V197">
            <v>128</v>
          </cell>
          <cell r="W197">
            <v>580</v>
          </cell>
          <cell r="X197">
            <v>528</v>
          </cell>
          <cell r="Y197">
            <v>437</v>
          </cell>
          <cell r="Z197">
            <v>379</v>
          </cell>
          <cell r="AA197">
            <v>320</v>
          </cell>
          <cell r="AB197">
            <v>224</v>
          </cell>
          <cell r="AC197">
            <v>128</v>
          </cell>
        </row>
        <row r="198">
          <cell r="A198" t="str">
            <v>6-14-23</v>
          </cell>
          <cell r="B198">
            <v>715</v>
          </cell>
          <cell r="C198">
            <v>641</v>
          </cell>
          <cell r="D198">
            <v>527</v>
          </cell>
          <cell r="E198">
            <v>451</v>
          </cell>
          <cell r="F198">
            <v>374</v>
          </cell>
          <cell r="G198">
            <v>255</v>
          </cell>
          <cell r="H198">
            <v>136</v>
          </cell>
          <cell r="I198">
            <v>715</v>
          </cell>
          <cell r="J198">
            <v>641</v>
          </cell>
          <cell r="K198">
            <v>527</v>
          </cell>
          <cell r="L198">
            <v>451</v>
          </cell>
          <cell r="M198">
            <v>374</v>
          </cell>
          <cell r="N198">
            <v>255</v>
          </cell>
          <cell r="O198">
            <v>136</v>
          </cell>
          <cell r="P198">
            <v>536</v>
          </cell>
          <cell r="Q198">
            <v>490</v>
          </cell>
          <cell r="R198">
            <v>413</v>
          </cell>
          <cell r="S198">
            <v>359</v>
          </cell>
          <cell r="T198">
            <v>304</v>
          </cell>
          <cell r="U198">
            <v>211</v>
          </cell>
          <cell r="V198">
            <v>118</v>
          </cell>
          <cell r="W198">
            <v>536</v>
          </cell>
          <cell r="X198">
            <v>490</v>
          </cell>
          <cell r="Y198">
            <v>413</v>
          </cell>
          <cell r="Z198">
            <v>359</v>
          </cell>
          <cell r="AA198">
            <v>304</v>
          </cell>
          <cell r="AB198">
            <v>211</v>
          </cell>
          <cell r="AC198">
            <v>118</v>
          </cell>
        </row>
        <row r="199">
          <cell r="A199" t="str">
            <v>7-9-23</v>
          </cell>
          <cell r="B199">
            <v>1177</v>
          </cell>
          <cell r="C199">
            <v>1036</v>
          </cell>
          <cell r="D199">
            <v>846</v>
          </cell>
          <cell r="E199">
            <v>722</v>
          </cell>
          <cell r="F199">
            <v>598</v>
          </cell>
          <cell r="G199">
            <v>412</v>
          </cell>
          <cell r="H199">
            <v>226</v>
          </cell>
          <cell r="I199">
            <v>960</v>
          </cell>
          <cell r="J199">
            <v>834</v>
          </cell>
          <cell r="K199">
            <v>673</v>
          </cell>
          <cell r="L199">
            <v>571</v>
          </cell>
          <cell r="M199">
            <v>469</v>
          </cell>
          <cell r="N199">
            <v>322</v>
          </cell>
          <cell r="O199">
            <v>175</v>
          </cell>
          <cell r="P199">
            <v>882</v>
          </cell>
          <cell r="Q199">
            <v>793</v>
          </cell>
          <cell r="R199">
            <v>662</v>
          </cell>
          <cell r="S199">
            <v>574</v>
          </cell>
          <cell r="T199">
            <v>486</v>
          </cell>
          <cell r="U199">
            <v>341</v>
          </cell>
          <cell r="V199">
            <v>196</v>
          </cell>
          <cell r="W199">
            <v>719</v>
          </cell>
          <cell r="X199">
            <v>639</v>
          </cell>
          <cell r="Y199">
            <v>527</v>
          </cell>
          <cell r="Z199">
            <v>454</v>
          </cell>
          <cell r="AA199">
            <v>381</v>
          </cell>
          <cell r="AB199">
            <v>267</v>
          </cell>
          <cell r="AC199">
            <v>152</v>
          </cell>
        </row>
        <row r="200">
          <cell r="A200" t="str">
            <v>7-10-23</v>
          </cell>
          <cell r="B200">
            <v>1055</v>
          </cell>
          <cell r="C200">
            <v>926</v>
          </cell>
          <cell r="D200">
            <v>763</v>
          </cell>
          <cell r="E200">
            <v>653</v>
          </cell>
          <cell r="F200">
            <v>542</v>
          </cell>
          <cell r="G200">
            <v>374</v>
          </cell>
          <cell r="H200">
            <v>205</v>
          </cell>
          <cell r="I200">
            <v>915</v>
          </cell>
          <cell r="J200">
            <v>792</v>
          </cell>
          <cell r="K200">
            <v>640</v>
          </cell>
          <cell r="L200">
            <v>544</v>
          </cell>
          <cell r="M200">
            <v>448</v>
          </cell>
          <cell r="N200">
            <v>307</v>
          </cell>
          <cell r="O200">
            <v>166</v>
          </cell>
          <cell r="P200">
            <v>791</v>
          </cell>
          <cell r="Q200">
            <v>709</v>
          </cell>
          <cell r="R200">
            <v>597</v>
          </cell>
          <cell r="S200">
            <v>519</v>
          </cell>
          <cell r="T200">
            <v>440</v>
          </cell>
          <cell r="U200">
            <v>309</v>
          </cell>
          <cell r="V200">
            <v>178</v>
          </cell>
          <cell r="W200">
            <v>686</v>
          </cell>
          <cell r="X200">
            <v>606</v>
          </cell>
          <cell r="Y200">
            <v>501</v>
          </cell>
          <cell r="Z200">
            <v>433</v>
          </cell>
          <cell r="AA200">
            <v>364</v>
          </cell>
          <cell r="AB200">
            <v>254</v>
          </cell>
          <cell r="AC200">
            <v>144</v>
          </cell>
        </row>
        <row r="201">
          <cell r="A201" t="str">
            <v>7-11-23</v>
          </cell>
          <cell r="B201">
            <v>919</v>
          </cell>
          <cell r="C201">
            <v>814</v>
          </cell>
          <cell r="D201">
            <v>674</v>
          </cell>
          <cell r="E201">
            <v>579</v>
          </cell>
          <cell r="F201">
            <v>483</v>
          </cell>
          <cell r="G201">
            <v>333</v>
          </cell>
          <cell r="H201">
            <v>182</v>
          </cell>
          <cell r="I201">
            <v>862</v>
          </cell>
          <cell r="J201">
            <v>748</v>
          </cell>
          <cell r="K201">
            <v>607</v>
          </cell>
          <cell r="L201">
            <v>516</v>
          </cell>
          <cell r="M201">
            <v>425</v>
          </cell>
          <cell r="N201">
            <v>291</v>
          </cell>
          <cell r="O201">
            <v>157</v>
          </cell>
          <cell r="P201">
            <v>689</v>
          </cell>
          <cell r="Q201">
            <v>622</v>
          </cell>
          <cell r="R201">
            <v>528</v>
          </cell>
          <cell r="S201">
            <v>460</v>
          </cell>
          <cell r="T201">
            <v>392</v>
          </cell>
          <cell r="U201">
            <v>276</v>
          </cell>
          <cell r="V201">
            <v>159</v>
          </cell>
          <cell r="W201">
            <v>646</v>
          </cell>
          <cell r="X201">
            <v>571</v>
          </cell>
          <cell r="Y201">
            <v>476</v>
          </cell>
          <cell r="Z201">
            <v>411</v>
          </cell>
          <cell r="AA201">
            <v>345</v>
          </cell>
          <cell r="AB201">
            <v>241</v>
          </cell>
          <cell r="AC201">
            <v>137</v>
          </cell>
        </row>
        <row r="202">
          <cell r="A202" t="str">
            <v>7-12-23</v>
          </cell>
          <cell r="B202">
            <v>821</v>
          </cell>
          <cell r="C202">
            <v>728</v>
          </cell>
          <cell r="D202">
            <v>587</v>
          </cell>
          <cell r="E202">
            <v>499</v>
          </cell>
          <cell r="F202">
            <v>411</v>
          </cell>
          <cell r="G202">
            <v>282</v>
          </cell>
          <cell r="H202">
            <v>152</v>
          </cell>
          <cell r="I202">
            <v>821</v>
          </cell>
          <cell r="J202">
            <v>728</v>
          </cell>
          <cell r="K202">
            <v>587</v>
          </cell>
          <cell r="L202">
            <v>499</v>
          </cell>
          <cell r="M202">
            <v>411</v>
          </cell>
          <cell r="N202">
            <v>282</v>
          </cell>
          <cell r="O202">
            <v>152</v>
          </cell>
          <cell r="P202">
            <v>616</v>
          </cell>
          <cell r="Q202">
            <v>557</v>
          </cell>
          <cell r="R202">
            <v>459</v>
          </cell>
          <cell r="S202">
            <v>397</v>
          </cell>
          <cell r="T202">
            <v>334</v>
          </cell>
          <cell r="U202">
            <v>234</v>
          </cell>
          <cell r="V202">
            <v>133</v>
          </cell>
          <cell r="W202">
            <v>616</v>
          </cell>
          <cell r="X202">
            <v>557</v>
          </cell>
          <cell r="Y202">
            <v>459</v>
          </cell>
          <cell r="Z202">
            <v>397</v>
          </cell>
          <cell r="AA202">
            <v>334</v>
          </cell>
          <cell r="AB202">
            <v>234</v>
          </cell>
          <cell r="AC202">
            <v>133</v>
          </cell>
        </row>
        <row r="203">
          <cell r="A203" t="str">
            <v>7-13-23</v>
          </cell>
          <cell r="B203">
            <v>768</v>
          </cell>
          <cell r="C203">
            <v>684</v>
          </cell>
          <cell r="D203">
            <v>554</v>
          </cell>
          <cell r="E203">
            <v>472</v>
          </cell>
          <cell r="F203">
            <v>390</v>
          </cell>
          <cell r="G203">
            <v>267</v>
          </cell>
          <cell r="H203">
            <v>144</v>
          </cell>
          <cell r="I203">
            <v>768</v>
          </cell>
          <cell r="J203">
            <v>684</v>
          </cell>
          <cell r="K203">
            <v>554</v>
          </cell>
          <cell r="L203">
            <v>472</v>
          </cell>
          <cell r="M203">
            <v>390</v>
          </cell>
          <cell r="N203">
            <v>267</v>
          </cell>
          <cell r="O203">
            <v>144</v>
          </cell>
          <cell r="P203">
            <v>575</v>
          </cell>
          <cell r="Q203">
            <v>523</v>
          </cell>
          <cell r="R203">
            <v>434</v>
          </cell>
          <cell r="S203">
            <v>376</v>
          </cell>
          <cell r="T203">
            <v>317</v>
          </cell>
          <cell r="U203">
            <v>221</v>
          </cell>
          <cell r="V203">
            <v>125</v>
          </cell>
          <cell r="W203">
            <v>575</v>
          </cell>
          <cell r="X203">
            <v>523</v>
          </cell>
          <cell r="Y203">
            <v>434</v>
          </cell>
          <cell r="Z203">
            <v>376</v>
          </cell>
          <cell r="AA203">
            <v>317</v>
          </cell>
          <cell r="AB203">
            <v>221</v>
          </cell>
          <cell r="AC203">
            <v>125</v>
          </cell>
        </row>
        <row r="204">
          <cell r="A204" t="str">
            <v>7-14-23</v>
          </cell>
          <cell r="B204">
            <v>713</v>
          </cell>
          <cell r="C204">
            <v>637</v>
          </cell>
          <cell r="D204">
            <v>525</v>
          </cell>
          <cell r="E204">
            <v>446</v>
          </cell>
          <cell r="F204">
            <v>367</v>
          </cell>
          <cell r="G204">
            <v>252</v>
          </cell>
          <cell r="H204">
            <v>137</v>
          </cell>
          <cell r="I204">
            <v>713</v>
          </cell>
          <cell r="J204">
            <v>637</v>
          </cell>
          <cell r="K204">
            <v>525</v>
          </cell>
          <cell r="L204">
            <v>446</v>
          </cell>
          <cell r="M204">
            <v>367</v>
          </cell>
          <cell r="N204">
            <v>252</v>
          </cell>
          <cell r="O204">
            <v>137</v>
          </cell>
          <cell r="P204">
            <v>534</v>
          </cell>
          <cell r="Q204">
            <v>487</v>
          </cell>
          <cell r="R204">
            <v>411</v>
          </cell>
          <cell r="S204">
            <v>355</v>
          </cell>
          <cell r="T204">
            <v>298</v>
          </cell>
          <cell r="U204">
            <v>209</v>
          </cell>
          <cell r="V204">
            <v>119</v>
          </cell>
          <cell r="W204">
            <v>534</v>
          </cell>
          <cell r="X204">
            <v>487</v>
          </cell>
          <cell r="Y204">
            <v>411</v>
          </cell>
          <cell r="Z204">
            <v>355</v>
          </cell>
          <cell r="AA204">
            <v>298</v>
          </cell>
          <cell r="AB204">
            <v>209</v>
          </cell>
          <cell r="AC204">
            <v>119</v>
          </cell>
        </row>
        <row r="205">
          <cell r="A205" t="str">
            <v>7-15-23</v>
          </cell>
          <cell r="B205">
            <v>652</v>
          </cell>
          <cell r="C205">
            <v>585</v>
          </cell>
          <cell r="D205">
            <v>483</v>
          </cell>
          <cell r="E205">
            <v>414</v>
          </cell>
          <cell r="F205">
            <v>345</v>
          </cell>
          <cell r="G205">
            <v>235</v>
          </cell>
          <cell r="H205">
            <v>125</v>
          </cell>
          <cell r="I205">
            <v>652</v>
          </cell>
          <cell r="J205">
            <v>585</v>
          </cell>
          <cell r="K205">
            <v>483</v>
          </cell>
          <cell r="L205">
            <v>414</v>
          </cell>
          <cell r="M205">
            <v>345</v>
          </cell>
          <cell r="N205">
            <v>235</v>
          </cell>
          <cell r="O205">
            <v>125</v>
          </cell>
          <cell r="P205">
            <v>489</v>
          </cell>
          <cell r="Q205">
            <v>447</v>
          </cell>
          <cell r="R205">
            <v>378</v>
          </cell>
          <cell r="S205">
            <v>329</v>
          </cell>
          <cell r="T205">
            <v>280</v>
          </cell>
          <cell r="U205">
            <v>195</v>
          </cell>
          <cell r="V205">
            <v>109</v>
          </cell>
          <cell r="W205">
            <v>489</v>
          </cell>
          <cell r="X205">
            <v>447</v>
          </cell>
          <cell r="Y205">
            <v>378</v>
          </cell>
          <cell r="Z205">
            <v>329</v>
          </cell>
          <cell r="AA205">
            <v>280</v>
          </cell>
          <cell r="AB205">
            <v>195</v>
          </cell>
          <cell r="AC205">
            <v>109</v>
          </cell>
        </row>
        <row r="206">
          <cell r="A206" t="str">
            <v>8-10-23</v>
          </cell>
          <cell r="B206">
            <v>1049</v>
          </cell>
          <cell r="C206">
            <v>920</v>
          </cell>
          <cell r="D206">
            <v>754</v>
          </cell>
          <cell r="E206">
            <v>645</v>
          </cell>
          <cell r="F206">
            <v>535</v>
          </cell>
          <cell r="G206">
            <v>368</v>
          </cell>
          <cell r="H206">
            <v>201</v>
          </cell>
          <cell r="I206">
            <v>912</v>
          </cell>
          <cell r="J206">
            <v>789</v>
          </cell>
          <cell r="K206">
            <v>637</v>
          </cell>
          <cell r="L206">
            <v>541</v>
          </cell>
          <cell r="M206">
            <v>444</v>
          </cell>
          <cell r="N206">
            <v>304</v>
          </cell>
          <cell r="O206">
            <v>164</v>
          </cell>
          <cell r="P206">
            <v>787</v>
          </cell>
          <cell r="Q206">
            <v>704</v>
          </cell>
          <cell r="R206">
            <v>591</v>
          </cell>
          <cell r="S206">
            <v>513</v>
          </cell>
          <cell r="T206">
            <v>435</v>
          </cell>
          <cell r="U206">
            <v>305</v>
          </cell>
          <cell r="V206">
            <v>175</v>
          </cell>
          <cell r="W206">
            <v>684</v>
          </cell>
          <cell r="X206">
            <v>604</v>
          </cell>
          <cell r="Y206">
            <v>499</v>
          </cell>
          <cell r="Z206">
            <v>430</v>
          </cell>
          <cell r="AA206">
            <v>361</v>
          </cell>
          <cell r="AB206">
            <v>252</v>
          </cell>
          <cell r="AC206">
            <v>142</v>
          </cell>
        </row>
        <row r="207">
          <cell r="A207" t="str">
            <v>8-11-23</v>
          </cell>
          <cell r="B207">
            <v>912</v>
          </cell>
          <cell r="C207">
            <v>806</v>
          </cell>
          <cell r="D207">
            <v>666</v>
          </cell>
          <cell r="E207">
            <v>571</v>
          </cell>
          <cell r="F207">
            <v>475</v>
          </cell>
          <cell r="G207">
            <v>327</v>
          </cell>
          <cell r="H207">
            <v>179</v>
          </cell>
          <cell r="I207">
            <v>859</v>
          </cell>
          <cell r="J207">
            <v>746</v>
          </cell>
          <cell r="K207">
            <v>605</v>
          </cell>
          <cell r="L207">
            <v>514</v>
          </cell>
          <cell r="M207">
            <v>422</v>
          </cell>
          <cell r="N207">
            <v>289</v>
          </cell>
          <cell r="O207">
            <v>156</v>
          </cell>
          <cell r="P207">
            <v>684</v>
          </cell>
          <cell r="Q207">
            <v>617</v>
          </cell>
          <cell r="R207">
            <v>521</v>
          </cell>
          <cell r="S207">
            <v>454</v>
          </cell>
          <cell r="T207">
            <v>386</v>
          </cell>
          <cell r="U207">
            <v>271</v>
          </cell>
          <cell r="V207">
            <v>156</v>
          </cell>
          <cell r="W207">
            <v>644</v>
          </cell>
          <cell r="X207">
            <v>571</v>
          </cell>
          <cell r="Y207">
            <v>473</v>
          </cell>
          <cell r="Z207">
            <v>408</v>
          </cell>
          <cell r="AA207">
            <v>343</v>
          </cell>
          <cell r="AB207">
            <v>240</v>
          </cell>
          <cell r="AC207">
            <v>136</v>
          </cell>
        </row>
        <row r="208">
          <cell r="A208" t="str">
            <v>8-12-23</v>
          </cell>
          <cell r="B208">
            <v>815</v>
          </cell>
          <cell r="C208">
            <v>722</v>
          </cell>
          <cell r="D208">
            <v>582</v>
          </cell>
          <cell r="E208">
            <v>499</v>
          </cell>
          <cell r="F208">
            <v>415</v>
          </cell>
          <cell r="G208">
            <v>286</v>
          </cell>
          <cell r="H208">
            <v>156</v>
          </cell>
          <cell r="I208">
            <v>815</v>
          </cell>
          <cell r="J208">
            <v>722</v>
          </cell>
          <cell r="K208">
            <v>582</v>
          </cell>
          <cell r="L208">
            <v>491</v>
          </cell>
          <cell r="M208">
            <v>400</v>
          </cell>
          <cell r="N208">
            <v>274</v>
          </cell>
          <cell r="O208">
            <v>148</v>
          </cell>
          <cell r="P208">
            <v>611</v>
          </cell>
          <cell r="Q208">
            <v>553</v>
          </cell>
          <cell r="R208">
            <v>455</v>
          </cell>
          <cell r="S208">
            <v>396</v>
          </cell>
          <cell r="T208">
            <v>337</v>
          </cell>
          <cell r="U208">
            <v>237</v>
          </cell>
          <cell r="V208">
            <v>136</v>
          </cell>
          <cell r="W208">
            <v>611</v>
          </cell>
          <cell r="X208">
            <v>553</v>
          </cell>
          <cell r="Y208">
            <v>455</v>
          </cell>
          <cell r="Z208">
            <v>390</v>
          </cell>
          <cell r="AA208">
            <v>325</v>
          </cell>
          <cell r="AB208">
            <v>227</v>
          </cell>
          <cell r="AC208">
            <v>129</v>
          </cell>
        </row>
        <row r="209">
          <cell r="A209" t="str">
            <v>8-13-23</v>
          </cell>
          <cell r="B209">
            <v>761</v>
          </cell>
          <cell r="C209">
            <v>677</v>
          </cell>
          <cell r="D209">
            <v>549</v>
          </cell>
          <cell r="E209">
            <v>468</v>
          </cell>
          <cell r="F209">
            <v>386</v>
          </cell>
          <cell r="G209">
            <v>264</v>
          </cell>
          <cell r="H209">
            <v>142</v>
          </cell>
          <cell r="I209">
            <v>761</v>
          </cell>
          <cell r="J209">
            <v>677</v>
          </cell>
          <cell r="K209">
            <v>549</v>
          </cell>
          <cell r="L209">
            <v>468</v>
          </cell>
          <cell r="M209">
            <v>386</v>
          </cell>
          <cell r="N209">
            <v>264</v>
          </cell>
          <cell r="O209">
            <v>142</v>
          </cell>
          <cell r="P209">
            <v>570</v>
          </cell>
          <cell r="Q209">
            <v>518</v>
          </cell>
          <cell r="R209">
            <v>430</v>
          </cell>
          <cell r="S209">
            <v>372</v>
          </cell>
          <cell r="T209">
            <v>314</v>
          </cell>
          <cell r="U209">
            <v>219</v>
          </cell>
          <cell r="V209">
            <v>124</v>
          </cell>
          <cell r="W209">
            <v>570</v>
          </cell>
          <cell r="X209">
            <v>518</v>
          </cell>
          <cell r="Y209">
            <v>430</v>
          </cell>
          <cell r="Z209">
            <v>372</v>
          </cell>
          <cell r="AA209">
            <v>314</v>
          </cell>
          <cell r="AB209">
            <v>219</v>
          </cell>
          <cell r="AC209">
            <v>124</v>
          </cell>
        </row>
        <row r="210">
          <cell r="A210" t="str">
            <v>8-14-23</v>
          </cell>
          <cell r="B210">
            <v>706</v>
          </cell>
          <cell r="C210">
            <v>630</v>
          </cell>
          <cell r="D210">
            <v>520</v>
          </cell>
          <cell r="E210">
            <v>442</v>
          </cell>
          <cell r="F210">
            <v>364</v>
          </cell>
          <cell r="G210">
            <v>250</v>
          </cell>
          <cell r="H210">
            <v>136</v>
          </cell>
          <cell r="I210">
            <v>706</v>
          </cell>
          <cell r="J210">
            <v>630</v>
          </cell>
          <cell r="K210">
            <v>520</v>
          </cell>
          <cell r="L210">
            <v>442</v>
          </cell>
          <cell r="M210">
            <v>364</v>
          </cell>
          <cell r="N210">
            <v>250</v>
          </cell>
          <cell r="O210">
            <v>136</v>
          </cell>
          <cell r="P210">
            <v>529</v>
          </cell>
          <cell r="Q210">
            <v>482</v>
          </cell>
          <cell r="R210">
            <v>407</v>
          </cell>
          <cell r="S210">
            <v>351</v>
          </cell>
          <cell r="T210">
            <v>295</v>
          </cell>
          <cell r="U210">
            <v>207</v>
          </cell>
          <cell r="V210">
            <v>118</v>
          </cell>
          <cell r="W210">
            <v>529</v>
          </cell>
          <cell r="X210">
            <v>482</v>
          </cell>
          <cell r="Y210">
            <v>407</v>
          </cell>
          <cell r="Z210">
            <v>351</v>
          </cell>
          <cell r="AA210">
            <v>295</v>
          </cell>
          <cell r="AB210">
            <v>207</v>
          </cell>
          <cell r="AC210">
            <v>118</v>
          </cell>
        </row>
        <row r="211">
          <cell r="A211" t="str">
            <v>8-15-23</v>
          </cell>
          <cell r="B211">
            <v>648</v>
          </cell>
          <cell r="C211">
            <v>581</v>
          </cell>
          <cell r="D211">
            <v>481</v>
          </cell>
          <cell r="E211">
            <v>412</v>
          </cell>
          <cell r="F211">
            <v>343</v>
          </cell>
          <cell r="G211">
            <v>234</v>
          </cell>
          <cell r="H211">
            <v>125</v>
          </cell>
          <cell r="I211">
            <v>648</v>
          </cell>
          <cell r="J211">
            <v>581</v>
          </cell>
          <cell r="K211">
            <v>481</v>
          </cell>
          <cell r="L211">
            <v>412</v>
          </cell>
          <cell r="M211">
            <v>343</v>
          </cell>
          <cell r="N211">
            <v>234</v>
          </cell>
          <cell r="O211">
            <v>125</v>
          </cell>
          <cell r="P211">
            <v>485</v>
          </cell>
          <cell r="Q211">
            <v>445</v>
          </cell>
          <cell r="R211">
            <v>376</v>
          </cell>
          <cell r="S211">
            <v>328</v>
          </cell>
          <cell r="T211">
            <v>279</v>
          </cell>
          <cell r="U211">
            <v>194</v>
          </cell>
          <cell r="V211">
            <v>109</v>
          </cell>
          <cell r="W211">
            <v>485</v>
          </cell>
          <cell r="X211">
            <v>445</v>
          </cell>
          <cell r="Y211">
            <v>376</v>
          </cell>
          <cell r="Z211">
            <v>328</v>
          </cell>
          <cell r="AA211">
            <v>279</v>
          </cell>
          <cell r="AB211">
            <v>194</v>
          </cell>
          <cell r="AC211">
            <v>109</v>
          </cell>
        </row>
        <row r="212">
          <cell r="A212" t="str">
            <v>8-16-23</v>
          </cell>
          <cell r="B212">
            <v>585</v>
          </cell>
          <cell r="C212">
            <v>527</v>
          </cell>
          <cell r="D212">
            <v>438</v>
          </cell>
          <cell r="E212">
            <v>376</v>
          </cell>
          <cell r="F212">
            <v>313</v>
          </cell>
          <cell r="G212">
            <v>213</v>
          </cell>
          <cell r="H212">
            <v>113</v>
          </cell>
          <cell r="I212">
            <v>585</v>
          </cell>
          <cell r="J212">
            <v>527</v>
          </cell>
          <cell r="K212">
            <v>438</v>
          </cell>
          <cell r="L212">
            <v>376</v>
          </cell>
          <cell r="M212">
            <v>313</v>
          </cell>
          <cell r="N212">
            <v>213</v>
          </cell>
          <cell r="O212">
            <v>113</v>
          </cell>
          <cell r="P212">
            <v>439</v>
          </cell>
          <cell r="Q212">
            <v>404</v>
          </cell>
          <cell r="R212">
            <v>343</v>
          </cell>
          <cell r="S212">
            <v>299</v>
          </cell>
          <cell r="T212">
            <v>255</v>
          </cell>
          <cell r="U212">
            <v>177</v>
          </cell>
          <cell r="V212">
            <v>99</v>
          </cell>
          <cell r="W212">
            <v>439</v>
          </cell>
          <cell r="X212">
            <v>404</v>
          </cell>
          <cell r="Y212">
            <v>343</v>
          </cell>
          <cell r="Z212">
            <v>299</v>
          </cell>
          <cell r="AA212">
            <v>255</v>
          </cell>
          <cell r="AB212">
            <v>177</v>
          </cell>
          <cell r="AC212">
            <v>99</v>
          </cell>
        </row>
        <row r="213">
          <cell r="A213" t="str">
            <v>9-11-23</v>
          </cell>
          <cell r="B213">
            <v>905</v>
          </cell>
          <cell r="C213">
            <v>797</v>
          </cell>
          <cell r="D213">
            <v>657</v>
          </cell>
          <cell r="E213">
            <v>563</v>
          </cell>
          <cell r="F213">
            <v>468</v>
          </cell>
          <cell r="G213">
            <v>322</v>
          </cell>
          <cell r="H213">
            <v>176</v>
          </cell>
          <cell r="I213">
            <v>856</v>
          </cell>
          <cell r="J213">
            <v>742</v>
          </cell>
          <cell r="K213">
            <v>601</v>
          </cell>
          <cell r="L213">
            <v>511</v>
          </cell>
          <cell r="M213">
            <v>420</v>
          </cell>
          <cell r="N213">
            <v>287</v>
          </cell>
          <cell r="O213">
            <v>154</v>
          </cell>
          <cell r="P213">
            <v>678</v>
          </cell>
          <cell r="Q213">
            <v>610</v>
          </cell>
          <cell r="R213">
            <v>515</v>
          </cell>
          <cell r="S213">
            <v>448</v>
          </cell>
          <cell r="T213">
            <v>380</v>
          </cell>
          <cell r="U213">
            <v>267</v>
          </cell>
          <cell r="V213">
            <v>153</v>
          </cell>
          <cell r="W213">
            <v>641</v>
          </cell>
          <cell r="X213">
            <v>568</v>
          </cell>
          <cell r="Y213">
            <v>471</v>
          </cell>
          <cell r="Z213">
            <v>406</v>
          </cell>
          <cell r="AA213">
            <v>341</v>
          </cell>
          <cell r="AB213">
            <v>238</v>
          </cell>
          <cell r="AC213">
            <v>134</v>
          </cell>
        </row>
        <row r="214">
          <cell r="A214" t="str">
            <v>9-12-23</v>
          </cell>
          <cell r="B214">
            <v>808</v>
          </cell>
          <cell r="C214">
            <v>716</v>
          </cell>
          <cell r="D214">
            <v>576</v>
          </cell>
          <cell r="E214">
            <v>494</v>
          </cell>
          <cell r="F214">
            <v>411</v>
          </cell>
          <cell r="G214">
            <v>282</v>
          </cell>
          <cell r="H214">
            <v>152</v>
          </cell>
          <cell r="I214">
            <v>808</v>
          </cell>
          <cell r="J214">
            <v>716</v>
          </cell>
          <cell r="K214">
            <v>576</v>
          </cell>
          <cell r="L214">
            <v>489</v>
          </cell>
          <cell r="M214">
            <v>401</v>
          </cell>
          <cell r="N214">
            <v>273</v>
          </cell>
          <cell r="O214">
            <v>145</v>
          </cell>
          <cell r="P214">
            <v>606</v>
          </cell>
          <cell r="Q214">
            <v>548</v>
          </cell>
          <cell r="R214">
            <v>451</v>
          </cell>
          <cell r="S214">
            <v>393</v>
          </cell>
          <cell r="T214">
            <v>334</v>
          </cell>
          <cell r="U214">
            <v>234</v>
          </cell>
          <cell r="V214">
            <v>133</v>
          </cell>
          <cell r="W214">
            <v>606</v>
          </cell>
          <cell r="X214">
            <v>548</v>
          </cell>
          <cell r="Y214">
            <v>451</v>
          </cell>
          <cell r="Z214">
            <v>389</v>
          </cell>
          <cell r="AA214">
            <v>326</v>
          </cell>
          <cell r="AB214">
            <v>227</v>
          </cell>
          <cell r="AC214">
            <v>127</v>
          </cell>
        </row>
        <row r="215">
          <cell r="A215" t="str">
            <v>9-13-23</v>
          </cell>
          <cell r="B215">
            <v>754</v>
          </cell>
          <cell r="C215">
            <v>670</v>
          </cell>
          <cell r="D215">
            <v>543</v>
          </cell>
          <cell r="E215">
            <v>462</v>
          </cell>
          <cell r="F215">
            <v>381</v>
          </cell>
          <cell r="G215">
            <v>261</v>
          </cell>
          <cell r="H215">
            <v>140</v>
          </cell>
          <cell r="I215">
            <v>754</v>
          </cell>
          <cell r="J215">
            <v>670</v>
          </cell>
          <cell r="K215">
            <v>543</v>
          </cell>
          <cell r="L215">
            <v>462</v>
          </cell>
          <cell r="M215">
            <v>381</v>
          </cell>
          <cell r="N215">
            <v>261</v>
          </cell>
          <cell r="O215">
            <v>140</v>
          </cell>
          <cell r="P215">
            <v>565</v>
          </cell>
          <cell r="Q215">
            <v>513</v>
          </cell>
          <cell r="R215">
            <v>425</v>
          </cell>
          <cell r="S215">
            <v>368</v>
          </cell>
          <cell r="T215">
            <v>310</v>
          </cell>
          <cell r="U215">
            <v>216</v>
          </cell>
          <cell r="V215">
            <v>122</v>
          </cell>
          <cell r="W215">
            <v>565</v>
          </cell>
          <cell r="X215">
            <v>513</v>
          </cell>
          <cell r="Y215">
            <v>425</v>
          </cell>
          <cell r="Z215">
            <v>368</v>
          </cell>
          <cell r="AA215">
            <v>310</v>
          </cell>
          <cell r="AB215">
            <v>216</v>
          </cell>
          <cell r="AC215">
            <v>122</v>
          </cell>
        </row>
        <row r="216">
          <cell r="A216" t="str">
            <v>9-14-23</v>
          </cell>
          <cell r="B216">
            <v>699</v>
          </cell>
          <cell r="C216">
            <v>623</v>
          </cell>
          <cell r="D216">
            <v>513</v>
          </cell>
          <cell r="E216">
            <v>437</v>
          </cell>
          <cell r="F216">
            <v>360</v>
          </cell>
          <cell r="G216">
            <v>247</v>
          </cell>
          <cell r="H216">
            <v>134</v>
          </cell>
          <cell r="I216">
            <v>699</v>
          </cell>
          <cell r="J216">
            <v>623</v>
          </cell>
          <cell r="K216">
            <v>513</v>
          </cell>
          <cell r="L216">
            <v>437</v>
          </cell>
          <cell r="M216">
            <v>360</v>
          </cell>
          <cell r="N216">
            <v>247</v>
          </cell>
          <cell r="O216">
            <v>134</v>
          </cell>
          <cell r="P216">
            <v>524</v>
          </cell>
          <cell r="Q216">
            <v>477</v>
          </cell>
          <cell r="R216">
            <v>402</v>
          </cell>
          <cell r="S216">
            <v>347</v>
          </cell>
          <cell r="T216">
            <v>292</v>
          </cell>
          <cell r="U216">
            <v>205</v>
          </cell>
          <cell r="V216">
            <v>117</v>
          </cell>
          <cell r="W216">
            <v>524</v>
          </cell>
          <cell r="X216">
            <v>477</v>
          </cell>
          <cell r="Y216">
            <v>402</v>
          </cell>
          <cell r="Z216">
            <v>347</v>
          </cell>
          <cell r="AA216">
            <v>292</v>
          </cell>
          <cell r="AB216">
            <v>205</v>
          </cell>
          <cell r="AC216">
            <v>117</v>
          </cell>
        </row>
        <row r="217">
          <cell r="A217" t="str">
            <v>9-15-23</v>
          </cell>
          <cell r="B217">
            <v>642</v>
          </cell>
          <cell r="C217">
            <v>576</v>
          </cell>
          <cell r="D217">
            <v>477</v>
          </cell>
          <cell r="E217">
            <v>409</v>
          </cell>
          <cell r="F217">
            <v>341</v>
          </cell>
          <cell r="G217">
            <v>233</v>
          </cell>
          <cell r="H217">
            <v>125</v>
          </cell>
          <cell r="I217">
            <v>642</v>
          </cell>
          <cell r="J217">
            <v>576</v>
          </cell>
          <cell r="K217">
            <v>477</v>
          </cell>
          <cell r="L217">
            <v>409</v>
          </cell>
          <cell r="M217">
            <v>341</v>
          </cell>
          <cell r="N217">
            <v>233</v>
          </cell>
          <cell r="O217">
            <v>125</v>
          </cell>
          <cell r="P217">
            <v>481</v>
          </cell>
          <cell r="Q217">
            <v>441</v>
          </cell>
          <cell r="R217">
            <v>374</v>
          </cell>
          <cell r="S217">
            <v>326</v>
          </cell>
          <cell r="T217">
            <v>277</v>
          </cell>
          <cell r="U217">
            <v>193</v>
          </cell>
          <cell r="V217">
            <v>109</v>
          </cell>
          <cell r="W217">
            <v>481</v>
          </cell>
          <cell r="X217">
            <v>441</v>
          </cell>
          <cell r="Y217">
            <v>374</v>
          </cell>
          <cell r="Z217">
            <v>326</v>
          </cell>
          <cell r="AA217">
            <v>277</v>
          </cell>
          <cell r="AB217">
            <v>193</v>
          </cell>
          <cell r="AC217">
            <v>109</v>
          </cell>
        </row>
        <row r="218">
          <cell r="A218" t="str">
            <v>9-16-23</v>
          </cell>
          <cell r="B218">
            <v>581</v>
          </cell>
          <cell r="C218">
            <v>524</v>
          </cell>
          <cell r="D218">
            <v>436</v>
          </cell>
          <cell r="E218">
            <v>374</v>
          </cell>
          <cell r="F218">
            <v>312</v>
          </cell>
          <cell r="G218">
            <v>213</v>
          </cell>
          <cell r="H218">
            <v>114</v>
          </cell>
          <cell r="I218">
            <v>581</v>
          </cell>
          <cell r="J218">
            <v>524</v>
          </cell>
          <cell r="K218">
            <v>436</v>
          </cell>
          <cell r="L218">
            <v>374</v>
          </cell>
          <cell r="M218">
            <v>312</v>
          </cell>
          <cell r="N218">
            <v>213</v>
          </cell>
          <cell r="O218">
            <v>114</v>
          </cell>
          <cell r="P218">
            <v>436</v>
          </cell>
          <cell r="Q218">
            <v>401</v>
          </cell>
          <cell r="R218">
            <v>341</v>
          </cell>
          <cell r="S218">
            <v>297</v>
          </cell>
          <cell r="T218">
            <v>253</v>
          </cell>
          <cell r="U218">
            <v>176</v>
          </cell>
          <cell r="V218">
            <v>99</v>
          </cell>
          <cell r="W218">
            <v>436</v>
          </cell>
          <cell r="X218">
            <v>401</v>
          </cell>
          <cell r="Y218">
            <v>341</v>
          </cell>
          <cell r="Z218">
            <v>297</v>
          </cell>
          <cell r="AA218">
            <v>253</v>
          </cell>
          <cell r="AB218">
            <v>176</v>
          </cell>
          <cell r="AC218">
            <v>99</v>
          </cell>
        </row>
        <row r="219">
          <cell r="A219" t="str">
            <v>9-17-23</v>
          </cell>
          <cell r="B219">
            <v>517</v>
          </cell>
          <cell r="C219">
            <v>468</v>
          </cell>
          <cell r="D219">
            <v>392</v>
          </cell>
          <cell r="E219">
            <v>337</v>
          </cell>
          <cell r="F219">
            <v>282</v>
          </cell>
          <cell r="G219">
            <v>192</v>
          </cell>
          <cell r="H219">
            <v>102</v>
          </cell>
          <cell r="I219">
            <v>517</v>
          </cell>
          <cell r="J219">
            <v>468</v>
          </cell>
          <cell r="K219">
            <v>392</v>
          </cell>
          <cell r="L219">
            <v>337</v>
          </cell>
          <cell r="M219">
            <v>282</v>
          </cell>
          <cell r="N219">
            <v>192</v>
          </cell>
          <cell r="O219">
            <v>102</v>
          </cell>
          <cell r="P219">
            <v>388</v>
          </cell>
          <cell r="Q219">
            <v>358</v>
          </cell>
          <cell r="R219">
            <v>307</v>
          </cell>
          <cell r="S219">
            <v>268</v>
          </cell>
          <cell r="T219">
            <v>229</v>
          </cell>
          <cell r="U219">
            <v>159</v>
          </cell>
          <cell r="V219">
            <v>89</v>
          </cell>
          <cell r="W219">
            <v>388</v>
          </cell>
          <cell r="X219">
            <v>358</v>
          </cell>
          <cell r="Y219">
            <v>307</v>
          </cell>
          <cell r="Z219">
            <v>268</v>
          </cell>
          <cell r="AA219">
            <v>229</v>
          </cell>
          <cell r="AB219">
            <v>159</v>
          </cell>
          <cell r="AC219">
            <v>89</v>
          </cell>
        </row>
        <row r="220">
          <cell r="A220" t="str">
            <v>10-12-23</v>
          </cell>
          <cell r="B220">
            <v>801</v>
          </cell>
          <cell r="C220">
            <v>709</v>
          </cell>
          <cell r="D220">
            <v>569</v>
          </cell>
          <cell r="E220">
            <v>483</v>
          </cell>
          <cell r="F220">
            <v>397</v>
          </cell>
          <cell r="G220">
            <v>273</v>
          </cell>
          <cell r="H220">
            <v>149</v>
          </cell>
          <cell r="I220">
            <v>801</v>
          </cell>
          <cell r="J220">
            <v>709</v>
          </cell>
          <cell r="K220">
            <v>569</v>
          </cell>
          <cell r="L220">
            <v>483</v>
          </cell>
          <cell r="M220">
            <v>397</v>
          </cell>
          <cell r="N220">
            <v>271</v>
          </cell>
          <cell r="O220">
            <v>144</v>
          </cell>
          <cell r="P220">
            <v>601</v>
          </cell>
          <cell r="Q220">
            <v>542</v>
          </cell>
          <cell r="R220">
            <v>446</v>
          </cell>
          <cell r="S220">
            <v>385</v>
          </cell>
          <cell r="T220">
            <v>323</v>
          </cell>
          <cell r="U220">
            <v>227</v>
          </cell>
          <cell r="V220">
            <v>130</v>
          </cell>
          <cell r="W220">
            <v>601</v>
          </cell>
          <cell r="X220">
            <v>542</v>
          </cell>
          <cell r="Y220">
            <v>446</v>
          </cell>
          <cell r="Z220">
            <v>385</v>
          </cell>
          <cell r="AA220">
            <v>323</v>
          </cell>
          <cell r="AB220">
            <v>225</v>
          </cell>
          <cell r="AC220">
            <v>126</v>
          </cell>
        </row>
        <row r="221">
          <cell r="A221" t="str">
            <v>10-13-23</v>
          </cell>
          <cell r="B221">
            <v>746</v>
          </cell>
          <cell r="C221">
            <v>663</v>
          </cell>
          <cell r="D221">
            <v>543</v>
          </cell>
          <cell r="E221">
            <v>460</v>
          </cell>
          <cell r="F221">
            <v>376</v>
          </cell>
          <cell r="G221">
            <v>257</v>
          </cell>
          <cell r="H221">
            <v>138</v>
          </cell>
          <cell r="I221">
            <v>746</v>
          </cell>
          <cell r="J221">
            <v>663</v>
          </cell>
          <cell r="K221">
            <v>543</v>
          </cell>
          <cell r="L221">
            <v>460</v>
          </cell>
          <cell r="M221">
            <v>376</v>
          </cell>
          <cell r="N221">
            <v>257</v>
          </cell>
          <cell r="O221">
            <v>138</v>
          </cell>
          <cell r="P221">
            <v>559</v>
          </cell>
          <cell r="Q221">
            <v>508</v>
          </cell>
          <cell r="R221">
            <v>425</v>
          </cell>
          <cell r="S221">
            <v>366</v>
          </cell>
          <cell r="T221">
            <v>306</v>
          </cell>
          <cell r="U221">
            <v>213</v>
          </cell>
          <cell r="V221">
            <v>120</v>
          </cell>
          <cell r="W221">
            <v>559</v>
          </cell>
          <cell r="X221">
            <v>508</v>
          </cell>
          <cell r="Y221">
            <v>425</v>
          </cell>
          <cell r="Z221">
            <v>366</v>
          </cell>
          <cell r="AA221">
            <v>306</v>
          </cell>
          <cell r="AB221">
            <v>213</v>
          </cell>
          <cell r="AC221">
            <v>120</v>
          </cell>
        </row>
        <row r="222">
          <cell r="A222" t="str">
            <v>10-14-23</v>
          </cell>
          <cell r="B222">
            <v>691</v>
          </cell>
          <cell r="C222">
            <v>616</v>
          </cell>
          <cell r="D222">
            <v>508</v>
          </cell>
          <cell r="E222">
            <v>432</v>
          </cell>
          <cell r="F222">
            <v>355</v>
          </cell>
          <cell r="G222">
            <v>243</v>
          </cell>
          <cell r="H222">
            <v>130</v>
          </cell>
          <cell r="I222">
            <v>691</v>
          </cell>
          <cell r="J222">
            <v>616</v>
          </cell>
          <cell r="K222">
            <v>508</v>
          </cell>
          <cell r="L222">
            <v>432</v>
          </cell>
          <cell r="M222">
            <v>355</v>
          </cell>
          <cell r="N222">
            <v>243</v>
          </cell>
          <cell r="O222">
            <v>130</v>
          </cell>
          <cell r="P222">
            <v>518</v>
          </cell>
          <cell r="Q222">
            <v>472</v>
          </cell>
          <cell r="R222">
            <v>397</v>
          </cell>
          <cell r="S222">
            <v>343</v>
          </cell>
          <cell r="T222">
            <v>288</v>
          </cell>
          <cell r="U222">
            <v>201</v>
          </cell>
          <cell r="V222">
            <v>113</v>
          </cell>
          <cell r="W222">
            <v>518</v>
          </cell>
          <cell r="X222">
            <v>472</v>
          </cell>
          <cell r="Y222">
            <v>397</v>
          </cell>
          <cell r="Z222">
            <v>343</v>
          </cell>
          <cell r="AA222">
            <v>288</v>
          </cell>
          <cell r="AB222">
            <v>201</v>
          </cell>
          <cell r="AC222">
            <v>113</v>
          </cell>
        </row>
        <row r="223">
          <cell r="A223" t="str">
            <v>10-15-23</v>
          </cell>
          <cell r="B223">
            <v>635</v>
          </cell>
          <cell r="C223">
            <v>569</v>
          </cell>
          <cell r="D223">
            <v>471</v>
          </cell>
          <cell r="E223">
            <v>404</v>
          </cell>
          <cell r="F223">
            <v>336</v>
          </cell>
          <cell r="G223">
            <v>230</v>
          </cell>
          <cell r="H223">
            <v>124</v>
          </cell>
          <cell r="I223">
            <v>635</v>
          </cell>
          <cell r="J223">
            <v>569</v>
          </cell>
          <cell r="K223">
            <v>471</v>
          </cell>
          <cell r="L223">
            <v>404</v>
          </cell>
          <cell r="M223">
            <v>336</v>
          </cell>
          <cell r="N223">
            <v>230</v>
          </cell>
          <cell r="O223">
            <v>124</v>
          </cell>
          <cell r="P223">
            <v>476</v>
          </cell>
          <cell r="Q223">
            <v>435</v>
          </cell>
          <cell r="R223">
            <v>369</v>
          </cell>
          <cell r="S223">
            <v>321</v>
          </cell>
          <cell r="T223">
            <v>273</v>
          </cell>
          <cell r="U223">
            <v>191</v>
          </cell>
          <cell r="V223">
            <v>108</v>
          </cell>
          <cell r="W223">
            <v>476</v>
          </cell>
          <cell r="X223">
            <v>435</v>
          </cell>
          <cell r="Y223">
            <v>369</v>
          </cell>
          <cell r="Z223">
            <v>321</v>
          </cell>
          <cell r="AA223">
            <v>273</v>
          </cell>
          <cell r="AB223">
            <v>191</v>
          </cell>
          <cell r="AC223">
            <v>108</v>
          </cell>
        </row>
        <row r="224">
          <cell r="A224" t="str">
            <v>10-16-23</v>
          </cell>
          <cell r="B224">
            <v>576</v>
          </cell>
          <cell r="C224">
            <v>520</v>
          </cell>
          <cell r="D224">
            <v>432</v>
          </cell>
          <cell r="E224">
            <v>372</v>
          </cell>
          <cell r="F224">
            <v>311</v>
          </cell>
          <cell r="G224">
            <v>213</v>
          </cell>
          <cell r="H224">
            <v>114</v>
          </cell>
          <cell r="I224">
            <v>576</v>
          </cell>
          <cell r="J224">
            <v>520</v>
          </cell>
          <cell r="K224">
            <v>432</v>
          </cell>
          <cell r="L224">
            <v>372</v>
          </cell>
          <cell r="M224">
            <v>311</v>
          </cell>
          <cell r="N224">
            <v>213</v>
          </cell>
          <cell r="O224">
            <v>114</v>
          </cell>
          <cell r="P224">
            <v>432</v>
          </cell>
          <cell r="Q224">
            <v>398</v>
          </cell>
          <cell r="R224">
            <v>338</v>
          </cell>
          <cell r="S224">
            <v>296</v>
          </cell>
          <cell r="T224">
            <v>253</v>
          </cell>
          <cell r="U224">
            <v>176</v>
          </cell>
          <cell r="V224">
            <v>99</v>
          </cell>
          <cell r="W224">
            <v>432</v>
          </cell>
          <cell r="X224">
            <v>398</v>
          </cell>
          <cell r="Y224">
            <v>338</v>
          </cell>
          <cell r="Z224">
            <v>296</v>
          </cell>
          <cell r="AA224">
            <v>253</v>
          </cell>
          <cell r="AB224">
            <v>176</v>
          </cell>
          <cell r="AC224">
            <v>99</v>
          </cell>
        </row>
        <row r="225">
          <cell r="A225" t="str">
            <v>10-17-23</v>
          </cell>
          <cell r="B225">
            <v>513</v>
          </cell>
          <cell r="C225">
            <v>464</v>
          </cell>
          <cell r="D225">
            <v>388</v>
          </cell>
          <cell r="E225">
            <v>335</v>
          </cell>
          <cell r="F225">
            <v>281</v>
          </cell>
          <cell r="G225">
            <v>192</v>
          </cell>
          <cell r="H225">
            <v>102</v>
          </cell>
          <cell r="I225">
            <v>513</v>
          </cell>
          <cell r="J225">
            <v>464</v>
          </cell>
          <cell r="K225">
            <v>388</v>
          </cell>
          <cell r="L225">
            <v>335</v>
          </cell>
          <cell r="M225">
            <v>281</v>
          </cell>
          <cell r="N225">
            <v>192</v>
          </cell>
          <cell r="O225">
            <v>102</v>
          </cell>
          <cell r="P225">
            <v>385</v>
          </cell>
          <cell r="Q225">
            <v>355</v>
          </cell>
          <cell r="R225">
            <v>304</v>
          </cell>
          <cell r="S225">
            <v>266</v>
          </cell>
          <cell r="T225">
            <v>228</v>
          </cell>
          <cell r="U225">
            <v>159</v>
          </cell>
          <cell r="V225">
            <v>89</v>
          </cell>
          <cell r="W225">
            <v>385</v>
          </cell>
          <cell r="X225">
            <v>355</v>
          </cell>
          <cell r="Y225">
            <v>304</v>
          </cell>
          <cell r="Z225">
            <v>266</v>
          </cell>
          <cell r="AA225">
            <v>228</v>
          </cell>
          <cell r="AB225">
            <v>159</v>
          </cell>
          <cell r="AC225">
            <v>89</v>
          </cell>
        </row>
        <row r="226">
          <cell r="A226" t="str">
            <v>10-18-23</v>
          </cell>
          <cell r="B226">
            <v>446</v>
          </cell>
          <cell r="C226">
            <v>406</v>
          </cell>
          <cell r="D226">
            <v>342</v>
          </cell>
          <cell r="E226">
            <v>296</v>
          </cell>
          <cell r="F226">
            <v>250</v>
          </cell>
          <cell r="G226">
            <v>171</v>
          </cell>
          <cell r="H226">
            <v>91</v>
          </cell>
          <cell r="I226">
            <v>446</v>
          </cell>
          <cell r="J226">
            <v>406</v>
          </cell>
          <cell r="K226">
            <v>342</v>
          </cell>
          <cell r="L226">
            <v>296</v>
          </cell>
          <cell r="M226">
            <v>250</v>
          </cell>
          <cell r="N226">
            <v>171</v>
          </cell>
          <cell r="O226">
            <v>91</v>
          </cell>
          <cell r="P226">
            <v>334</v>
          </cell>
          <cell r="Q226">
            <v>311</v>
          </cell>
          <cell r="R226">
            <v>268</v>
          </cell>
          <cell r="S226">
            <v>236</v>
          </cell>
          <cell r="T226">
            <v>203</v>
          </cell>
          <cell r="U226">
            <v>141</v>
          </cell>
          <cell r="V226">
            <v>79</v>
          </cell>
          <cell r="W226">
            <v>334</v>
          </cell>
          <cell r="X226">
            <v>311</v>
          </cell>
          <cell r="Y226">
            <v>268</v>
          </cell>
          <cell r="Z226">
            <v>236</v>
          </cell>
          <cell r="AA226">
            <v>203</v>
          </cell>
          <cell r="AB226">
            <v>141</v>
          </cell>
          <cell r="AC226">
            <v>79</v>
          </cell>
        </row>
        <row r="227">
          <cell r="A227" t="str">
            <v>11-13-23</v>
          </cell>
          <cell r="B227">
            <v>739</v>
          </cell>
          <cell r="C227">
            <v>655</v>
          </cell>
          <cell r="D227">
            <v>535</v>
          </cell>
          <cell r="E227">
            <v>453</v>
          </cell>
          <cell r="F227">
            <v>371</v>
          </cell>
          <cell r="G227">
            <v>254</v>
          </cell>
          <cell r="H227">
            <v>136</v>
          </cell>
          <cell r="I227">
            <v>739</v>
          </cell>
          <cell r="J227">
            <v>655</v>
          </cell>
          <cell r="K227">
            <v>535</v>
          </cell>
          <cell r="L227">
            <v>453</v>
          </cell>
          <cell r="M227">
            <v>371</v>
          </cell>
          <cell r="N227">
            <v>254</v>
          </cell>
          <cell r="O227">
            <v>136</v>
          </cell>
          <cell r="P227">
            <v>554</v>
          </cell>
          <cell r="Q227">
            <v>501</v>
          </cell>
          <cell r="R227">
            <v>419</v>
          </cell>
          <cell r="S227">
            <v>360</v>
          </cell>
          <cell r="T227">
            <v>301</v>
          </cell>
          <cell r="U227">
            <v>210</v>
          </cell>
          <cell r="V227">
            <v>118</v>
          </cell>
          <cell r="W227">
            <v>554</v>
          </cell>
          <cell r="X227">
            <v>501</v>
          </cell>
          <cell r="Y227">
            <v>419</v>
          </cell>
          <cell r="Z227">
            <v>360</v>
          </cell>
          <cell r="AA227">
            <v>301</v>
          </cell>
          <cell r="AB227">
            <v>210</v>
          </cell>
          <cell r="AC227">
            <v>118</v>
          </cell>
        </row>
        <row r="228">
          <cell r="A228" t="str">
            <v>11-14-23</v>
          </cell>
          <cell r="B228">
            <v>682</v>
          </cell>
          <cell r="C228">
            <v>609</v>
          </cell>
          <cell r="D228">
            <v>500</v>
          </cell>
          <cell r="E228">
            <v>425</v>
          </cell>
          <cell r="F228">
            <v>350</v>
          </cell>
          <cell r="G228">
            <v>239</v>
          </cell>
          <cell r="H228">
            <v>128</v>
          </cell>
          <cell r="I228">
            <v>682</v>
          </cell>
          <cell r="J228">
            <v>609</v>
          </cell>
          <cell r="K228">
            <v>500</v>
          </cell>
          <cell r="L228">
            <v>425</v>
          </cell>
          <cell r="M228">
            <v>350</v>
          </cell>
          <cell r="N228">
            <v>239</v>
          </cell>
          <cell r="O228">
            <v>128</v>
          </cell>
          <cell r="P228">
            <v>512</v>
          </cell>
          <cell r="Q228">
            <v>466</v>
          </cell>
          <cell r="R228">
            <v>392</v>
          </cell>
          <cell r="S228">
            <v>338</v>
          </cell>
          <cell r="T228">
            <v>284</v>
          </cell>
          <cell r="U228">
            <v>198</v>
          </cell>
          <cell r="V228">
            <v>112</v>
          </cell>
          <cell r="W228">
            <v>512</v>
          </cell>
          <cell r="X228">
            <v>466</v>
          </cell>
          <cell r="Y228">
            <v>392</v>
          </cell>
          <cell r="Z228">
            <v>338</v>
          </cell>
          <cell r="AA228">
            <v>284</v>
          </cell>
          <cell r="AB228">
            <v>198</v>
          </cell>
          <cell r="AC228">
            <v>112</v>
          </cell>
        </row>
        <row r="229">
          <cell r="A229" t="str">
            <v>11-15-23</v>
          </cell>
          <cell r="B229">
            <v>627</v>
          </cell>
          <cell r="C229">
            <v>562</v>
          </cell>
          <cell r="D229">
            <v>464</v>
          </cell>
          <cell r="E229">
            <v>398</v>
          </cell>
          <cell r="F229">
            <v>331</v>
          </cell>
          <cell r="G229">
            <v>227</v>
          </cell>
          <cell r="H229">
            <v>122</v>
          </cell>
          <cell r="I229">
            <v>627</v>
          </cell>
          <cell r="J229">
            <v>562</v>
          </cell>
          <cell r="K229">
            <v>464</v>
          </cell>
          <cell r="L229">
            <v>398</v>
          </cell>
          <cell r="M229">
            <v>331</v>
          </cell>
          <cell r="N229">
            <v>227</v>
          </cell>
          <cell r="O229">
            <v>122</v>
          </cell>
          <cell r="P229">
            <v>470</v>
          </cell>
          <cell r="Q229">
            <v>430</v>
          </cell>
          <cell r="R229">
            <v>363</v>
          </cell>
          <cell r="S229">
            <v>316</v>
          </cell>
          <cell r="T229">
            <v>269</v>
          </cell>
          <cell r="U229">
            <v>188</v>
          </cell>
          <cell r="V229">
            <v>106</v>
          </cell>
          <cell r="W229">
            <v>470</v>
          </cell>
          <cell r="X229">
            <v>430</v>
          </cell>
          <cell r="Y229">
            <v>363</v>
          </cell>
          <cell r="Z229">
            <v>316</v>
          </cell>
          <cell r="AA229">
            <v>269</v>
          </cell>
          <cell r="AB229">
            <v>188</v>
          </cell>
          <cell r="AC229">
            <v>106</v>
          </cell>
        </row>
        <row r="230">
          <cell r="A230" t="str">
            <v>11-16-23</v>
          </cell>
          <cell r="B230">
            <v>569</v>
          </cell>
          <cell r="C230">
            <v>513</v>
          </cell>
          <cell r="D230">
            <v>426</v>
          </cell>
          <cell r="E230">
            <v>367</v>
          </cell>
          <cell r="F230">
            <v>307</v>
          </cell>
          <cell r="G230">
            <v>210</v>
          </cell>
          <cell r="H230">
            <v>113</v>
          </cell>
          <cell r="I230">
            <v>569</v>
          </cell>
          <cell r="J230">
            <v>513</v>
          </cell>
          <cell r="K230">
            <v>426</v>
          </cell>
          <cell r="L230">
            <v>367</v>
          </cell>
          <cell r="M230">
            <v>307</v>
          </cell>
          <cell r="N230">
            <v>210</v>
          </cell>
          <cell r="O230">
            <v>113</v>
          </cell>
          <cell r="P230">
            <v>427</v>
          </cell>
          <cell r="Q230">
            <v>392</v>
          </cell>
          <cell r="R230">
            <v>333</v>
          </cell>
          <cell r="S230">
            <v>292</v>
          </cell>
          <cell r="T230">
            <v>250</v>
          </cell>
          <cell r="U230">
            <v>175</v>
          </cell>
          <cell r="V230">
            <v>99</v>
          </cell>
          <cell r="W230">
            <v>427</v>
          </cell>
          <cell r="X230">
            <v>392</v>
          </cell>
          <cell r="Y230">
            <v>333</v>
          </cell>
          <cell r="Z230">
            <v>292</v>
          </cell>
          <cell r="AA230">
            <v>250</v>
          </cell>
          <cell r="AB230">
            <v>175</v>
          </cell>
          <cell r="AC230">
            <v>99</v>
          </cell>
        </row>
        <row r="231">
          <cell r="A231" t="str">
            <v>11-17-23</v>
          </cell>
          <cell r="B231">
            <v>508</v>
          </cell>
          <cell r="C231">
            <v>460</v>
          </cell>
          <cell r="D231">
            <v>385</v>
          </cell>
          <cell r="E231">
            <v>332</v>
          </cell>
          <cell r="F231">
            <v>278</v>
          </cell>
          <cell r="G231">
            <v>190</v>
          </cell>
          <cell r="H231">
            <v>102</v>
          </cell>
          <cell r="I231">
            <v>508</v>
          </cell>
          <cell r="J231">
            <v>460</v>
          </cell>
          <cell r="K231">
            <v>385</v>
          </cell>
          <cell r="L231">
            <v>332</v>
          </cell>
          <cell r="M231">
            <v>278</v>
          </cell>
          <cell r="N231">
            <v>190</v>
          </cell>
          <cell r="O231">
            <v>102</v>
          </cell>
          <cell r="P231">
            <v>381</v>
          </cell>
          <cell r="Q231">
            <v>352</v>
          </cell>
          <cell r="R231">
            <v>301</v>
          </cell>
          <cell r="S231">
            <v>264</v>
          </cell>
          <cell r="T231">
            <v>226</v>
          </cell>
          <cell r="U231">
            <v>158</v>
          </cell>
          <cell r="V231">
            <v>89</v>
          </cell>
          <cell r="W231">
            <v>381</v>
          </cell>
          <cell r="X231">
            <v>352</v>
          </cell>
          <cell r="Y231">
            <v>301</v>
          </cell>
          <cell r="Z231">
            <v>264</v>
          </cell>
          <cell r="AA231">
            <v>226</v>
          </cell>
          <cell r="AB231">
            <v>158</v>
          </cell>
          <cell r="AC231">
            <v>89</v>
          </cell>
        </row>
        <row r="232">
          <cell r="A232" t="str">
            <v>11-18-23</v>
          </cell>
          <cell r="B232">
            <v>442</v>
          </cell>
          <cell r="C232">
            <v>402</v>
          </cell>
          <cell r="D232">
            <v>340</v>
          </cell>
          <cell r="E232">
            <v>294</v>
          </cell>
          <cell r="F232">
            <v>247</v>
          </cell>
          <cell r="G232">
            <v>169</v>
          </cell>
          <cell r="H232">
            <v>91</v>
          </cell>
          <cell r="I232">
            <v>442</v>
          </cell>
          <cell r="J232">
            <v>402</v>
          </cell>
          <cell r="K232">
            <v>340</v>
          </cell>
          <cell r="L232">
            <v>294</v>
          </cell>
          <cell r="M232">
            <v>247</v>
          </cell>
          <cell r="N232">
            <v>169</v>
          </cell>
          <cell r="O232">
            <v>91</v>
          </cell>
          <cell r="P232">
            <v>331</v>
          </cell>
          <cell r="Q232">
            <v>308</v>
          </cell>
          <cell r="R232">
            <v>266</v>
          </cell>
          <cell r="S232">
            <v>234</v>
          </cell>
          <cell r="T232">
            <v>201</v>
          </cell>
          <cell r="U232">
            <v>140</v>
          </cell>
          <cell r="V232">
            <v>79</v>
          </cell>
          <cell r="W232">
            <v>331</v>
          </cell>
          <cell r="X232">
            <v>308</v>
          </cell>
          <cell r="Y232">
            <v>266</v>
          </cell>
          <cell r="Z232">
            <v>234</v>
          </cell>
          <cell r="AA232">
            <v>201</v>
          </cell>
          <cell r="AB232">
            <v>140</v>
          </cell>
          <cell r="AC232">
            <v>79</v>
          </cell>
        </row>
        <row r="233">
          <cell r="A233" t="str">
            <v>11-19-23</v>
          </cell>
          <cell r="B233">
            <v>380</v>
          </cell>
          <cell r="C233">
            <v>341</v>
          </cell>
          <cell r="D233">
            <v>290</v>
          </cell>
          <cell r="E233">
            <v>252</v>
          </cell>
          <cell r="F233">
            <v>213</v>
          </cell>
          <cell r="G233">
            <v>146</v>
          </cell>
          <cell r="H233">
            <v>79</v>
          </cell>
          <cell r="I233">
            <v>380</v>
          </cell>
          <cell r="J233">
            <v>341</v>
          </cell>
          <cell r="K233">
            <v>290</v>
          </cell>
          <cell r="L233">
            <v>252</v>
          </cell>
          <cell r="M233">
            <v>213</v>
          </cell>
          <cell r="N233">
            <v>146</v>
          </cell>
          <cell r="O233">
            <v>79</v>
          </cell>
          <cell r="P233">
            <v>285</v>
          </cell>
          <cell r="Q233">
            <v>261</v>
          </cell>
          <cell r="R233">
            <v>227</v>
          </cell>
          <cell r="S233">
            <v>200</v>
          </cell>
          <cell r="T233">
            <v>173</v>
          </cell>
          <cell r="U233">
            <v>121</v>
          </cell>
          <cell r="V233">
            <v>69</v>
          </cell>
          <cell r="W233">
            <v>285</v>
          </cell>
          <cell r="X233">
            <v>261</v>
          </cell>
          <cell r="Y233">
            <v>227</v>
          </cell>
          <cell r="Z233">
            <v>200</v>
          </cell>
          <cell r="AA233">
            <v>173</v>
          </cell>
          <cell r="AB233">
            <v>121</v>
          </cell>
          <cell r="AC233">
            <v>69</v>
          </cell>
        </row>
        <row r="234">
          <cell r="A234" t="str">
            <v>12-14-23</v>
          </cell>
          <cell r="B234">
            <v>675</v>
          </cell>
          <cell r="C234">
            <v>601</v>
          </cell>
          <cell r="D234">
            <v>493</v>
          </cell>
          <cell r="E234">
            <v>419</v>
          </cell>
          <cell r="F234">
            <v>345</v>
          </cell>
          <cell r="G234">
            <v>236</v>
          </cell>
          <cell r="H234">
            <v>126</v>
          </cell>
          <cell r="I234">
            <v>675</v>
          </cell>
          <cell r="J234">
            <v>601</v>
          </cell>
          <cell r="K234">
            <v>493</v>
          </cell>
          <cell r="L234">
            <v>419</v>
          </cell>
          <cell r="M234">
            <v>345</v>
          </cell>
          <cell r="N234">
            <v>236</v>
          </cell>
          <cell r="O234">
            <v>126</v>
          </cell>
          <cell r="P234">
            <v>506</v>
          </cell>
          <cell r="Q234">
            <v>460</v>
          </cell>
          <cell r="R234">
            <v>386</v>
          </cell>
          <cell r="S234">
            <v>333</v>
          </cell>
          <cell r="T234">
            <v>280</v>
          </cell>
          <cell r="U234">
            <v>195</v>
          </cell>
          <cell r="V234">
            <v>109</v>
          </cell>
          <cell r="W234">
            <v>506</v>
          </cell>
          <cell r="X234">
            <v>460</v>
          </cell>
          <cell r="Y234">
            <v>386</v>
          </cell>
          <cell r="Z234">
            <v>333</v>
          </cell>
          <cell r="AA234">
            <v>280</v>
          </cell>
          <cell r="AB234">
            <v>195</v>
          </cell>
          <cell r="AC234">
            <v>109</v>
          </cell>
        </row>
        <row r="235">
          <cell r="A235" t="str">
            <v>12-15-23</v>
          </cell>
          <cell r="B235">
            <v>618</v>
          </cell>
          <cell r="C235">
            <v>552</v>
          </cell>
          <cell r="D235">
            <v>456</v>
          </cell>
          <cell r="E235">
            <v>391</v>
          </cell>
          <cell r="F235">
            <v>326</v>
          </cell>
          <cell r="G235">
            <v>223</v>
          </cell>
          <cell r="H235">
            <v>120</v>
          </cell>
          <cell r="I235">
            <v>618</v>
          </cell>
          <cell r="J235">
            <v>552</v>
          </cell>
          <cell r="K235">
            <v>456</v>
          </cell>
          <cell r="L235">
            <v>391</v>
          </cell>
          <cell r="M235">
            <v>326</v>
          </cell>
          <cell r="N235">
            <v>223</v>
          </cell>
          <cell r="O235">
            <v>120</v>
          </cell>
          <cell r="P235">
            <v>463</v>
          </cell>
          <cell r="Q235">
            <v>423</v>
          </cell>
          <cell r="R235">
            <v>357</v>
          </cell>
          <cell r="S235">
            <v>311</v>
          </cell>
          <cell r="T235">
            <v>265</v>
          </cell>
          <cell r="U235">
            <v>185</v>
          </cell>
          <cell r="V235">
            <v>104</v>
          </cell>
          <cell r="W235">
            <v>463</v>
          </cell>
          <cell r="X235">
            <v>423</v>
          </cell>
          <cell r="Y235">
            <v>357</v>
          </cell>
          <cell r="Z235">
            <v>311</v>
          </cell>
          <cell r="AA235">
            <v>265</v>
          </cell>
          <cell r="AB235">
            <v>185</v>
          </cell>
          <cell r="AC235">
            <v>104</v>
          </cell>
        </row>
        <row r="236">
          <cell r="A236" t="str">
            <v>12-16-23</v>
          </cell>
          <cell r="B236">
            <v>561</v>
          </cell>
          <cell r="C236">
            <v>505</v>
          </cell>
          <cell r="D236">
            <v>419</v>
          </cell>
          <cell r="E236">
            <v>360</v>
          </cell>
          <cell r="F236">
            <v>301</v>
          </cell>
          <cell r="G236">
            <v>206</v>
          </cell>
          <cell r="H236">
            <v>111</v>
          </cell>
          <cell r="I236">
            <v>561</v>
          </cell>
          <cell r="J236">
            <v>505</v>
          </cell>
          <cell r="K236">
            <v>419</v>
          </cell>
          <cell r="L236">
            <v>360</v>
          </cell>
          <cell r="M236">
            <v>301</v>
          </cell>
          <cell r="N236">
            <v>206</v>
          </cell>
          <cell r="O236">
            <v>111</v>
          </cell>
          <cell r="P236">
            <v>421</v>
          </cell>
          <cell r="Q236">
            <v>386</v>
          </cell>
          <cell r="R236">
            <v>328</v>
          </cell>
          <cell r="S236">
            <v>286</v>
          </cell>
          <cell r="T236">
            <v>244</v>
          </cell>
          <cell r="U236">
            <v>171</v>
          </cell>
          <cell r="V236">
            <v>97</v>
          </cell>
          <cell r="W236">
            <v>421</v>
          </cell>
          <cell r="X236">
            <v>386</v>
          </cell>
          <cell r="Y236">
            <v>328</v>
          </cell>
          <cell r="Z236">
            <v>286</v>
          </cell>
          <cell r="AA236">
            <v>244</v>
          </cell>
          <cell r="AB236">
            <v>171</v>
          </cell>
          <cell r="AC236">
            <v>97</v>
          </cell>
        </row>
        <row r="237">
          <cell r="A237" t="str">
            <v>12-17-23</v>
          </cell>
          <cell r="B237">
            <v>503</v>
          </cell>
          <cell r="C237">
            <v>455</v>
          </cell>
          <cell r="D237">
            <v>380</v>
          </cell>
          <cell r="E237">
            <v>328</v>
          </cell>
          <cell r="F237">
            <v>276</v>
          </cell>
          <cell r="G237">
            <v>189</v>
          </cell>
          <cell r="H237">
            <v>102</v>
          </cell>
          <cell r="I237">
            <v>503</v>
          </cell>
          <cell r="J237">
            <v>455</v>
          </cell>
          <cell r="K237">
            <v>380</v>
          </cell>
          <cell r="L237">
            <v>328</v>
          </cell>
          <cell r="M237">
            <v>276</v>
          </cell>
          <cell r="N237">
            <v>189</v>
          </cell>
          <cell r="O237">
            <v>102</v>
          </cell>
          <cell r="P237">
            <v>377</v>
          </cell>
          <cell r="Q237">
            <v>348</v>
          </cell>
          <cell r="R237">
            <v>297</v>
          </cell>
          <cell r="S237">
            <v>261</v>
          </cell>
          <cell r="T237">
            <v>224</v>
          </cell>
          <cell r="U237">
            <v>157</v>
          </cell>
          <cell r="V237">
            <v>89</v>
          </cell>
          <cell r="W237">
            <v>377</v>
          </cell>
          <cell r="X237">
            <v>348</v>
          </cell>
          <cell r="Y237">
            <v>297</v>
          </cell>
          <cell r="Z237">
            <v>261</v>
          </cell>
          <cell r="AA237">
            <v>224</v>
          </cell>
          <cell r="AB237">
            <v>157</v>
          </cell>
          <cell r="AC237">
            <v>89</v>
          </cell>
        </row>
        <row r="238">
          <cell r="A238" t="str">
            <v>12-18-23</v>
          </cell>
          <cell r="B238">
            <v>437</v>
          </cell>
          <cell r="C238">
            <v>398</v>
          </cell>
          <cell r="D238">
            <v>335</v>
          </cell>
          <cell r="E238">
            <v>290</v>
          </cell>
          <cell r="F238">
            <v>244</v>
          </cell>
          <cell r="G238">
            <v>167</v>
          </cell>
          <cell r="H238">
            <v>90</v>
          </cell>
          <cell r="I238">
            <v>437</v>
          </cell>
          <cell r="J238">
            <v>398</v>
          </cell>
          <cell r="K238">
            <v>335</v>
          </cell>
          <cell r="L238">
            <v>290</v>
          </cell>
          <cell r="M238">
            <v>244</v>
          </cell>
          <cell r="N238">
            <v>167</v>
          </cell>
          <cell r="O238">
            <v>90</v>
          </cell>
          <cell r="P238">
            <v>328</v>
          </cell>
          <cell r="Q238">
            <v>304</v>
          </cell>
          <cell r="R238">
            <v>262</v>
          </cell>
          <cell r="S238">
            <v>231</v>
          </cell>
          <cell r="T238">
            <v>199</v>
          </cell>
          <cell r="U238">
            <v>139</v>
          </cell>
          <cell r="V238">
            <v>78</v>
          </cell>
          <cell r="W238">
            <v>328</v>
          </cell>
          <cell r="X238">
            <v>304</v>
          </cell>
          <cell r="Y238">
            <v>262</v>
          </cell>
          <cell r="Z238">
            <v>231</v>
          </cell>
          <cell r="AA238">
            <v>199</v>
          </cell>
          <cell r="AB238">
            <v>139</v>
          </cell>
          <cell r="AC238">
            <v>78</v>
          </cell>
        </row>
        <row r="239">
          <cell r="A239" t="str">
            <v>13-15-23</v>
          </cell>
          <cell r="B239">
            <v>609</v>
          </cell>
          <cell r="C239">
            <v>545</v>
          </cell>
          <cell r="D239">
            <v>449</v>
          </cell>
          <cell r="E239">
            <v>385</v>
          </cell>
          <cell r="F239">
            <v>320</v>
          </cell>
          <cell r="G239">
            <v>219</v>
          </cell>
          <cell r="H239">
            <v>117</v>
          </cell>
          <cell r="I239">
            <v>609</v>
          </cell>
          <cell r="J239">
            <v>545</v>
          </cell>
          <cell r="K239">
            <v>449</v>
          </cell>
          <cell r="L239">
            <v>385</v>
          </cell>
          <cell r="M239">
            <v>320</v>
          </cell>
          <cell r="N239">
            <v>219</v>
          </cell>
          <cell r="O239">
            <v>117</v>
          </cell>
          <cell r="P239">
            <v>457</v>
          </cell>
          <cell r="Q239">
            <v>417</v>
          </cell>
          <cell r="R239">
            <v>351</v>
          </cell>
          <cell r="S239">
            <v>306</v>
          </cell>
          <cell r="T239">
            <v>260</v>
          </cell>
          <cell r="U239">
            <v>181</v>
          </cell>
          <cell r="V239">
            <v>102</v>
          </cell>
          <cell r="W239">
            <v>457</v>
          </cell>
          <cell r="X239">
            <v>417</v>
          </cell>
          <cell r="Y239">
            <v>351</v>
          </cell>
          <cell r="Z239">
            <v>306</v>
          </cell>
          <cell r="AA239">
            <v>260</v>
          </cell>
          <cell r="AB239">
            <v>181</v>
          </cell>
          <cell r="AC239">
            <v>102</v>
          </cell>
        </row>
        <row r="240">
          <cell r="A240" t="str">
            <v>13-16-23</v>
          </cell>
          <cell r="B240">
            <v>552</v>
          </cell>
          <cell r="C240">
            <v>496</v>
          </cell>
          <cell r="D240">
            <v>411</v>
          </cell>
          <cell r="E240">
            <v>354</v>
          </cell>
          <cell r="F240">
            <v>296</v>
          </cell>
          <cell r="G240">
            <v>203</v>
          </cell>
          <cell r="H240">
            <v>109</v>
          </cell>
          <cell r="I240">
            <v>552</v>
          </cell>
          <cell r="J240">
            <v>496</v>
          </cell>
          <cell r="K240">
            <v>411</v>
          </cell>
          <cell r="L240">
            <v>354</v>
          </cell>
          <cell r="M240">
            <v>296</v>
          </cell>
          <cell r="N240">
            <v>203</v>
          </cell>
          <cell r="O240">
            <v>109</v>
          </cell>
          <cell r="P240">
            <v>414</v>
          </cell>
          <cell r="Q240">
            <v>379</v>
          </cell>
          <cell r="R240">
            <v>322</v>
          </cell>
          <cell r="S240">
            <v>281</v>
          </cell>
          <cell r="T240">
            <v>240</v>
          </cell>
          <cell r="U240">
            <v>168</v>
          </cell>
          <cell r="V240">
            <v>95</v>
          </cell>
          <cell r="W240">
            <v>414</v>
          </cell>
          <cell r="X240">
            <v>379</v>
          </cell>
          <cell r="Y240">
            <v>322</v>
          </cell>
          <cell r="Z240">
            <v>281</v>
          </cell>
          <cell r="AA240">
            <v>240</v>
          </cell>
          <cell r="AB240">
            <v>168</v>
          </cell>
          <cell r="AC240">
            <v>95</v>
          </cell>
        </row>
        <row r="241">
          <cell r="A241" t="str">
            <v>13-17-23</v>
          </cell>
          <cell r="B241">
            <v>494</v>
          </cell>
          <cell r="C241">
            <v>447</v>
          </cell>
          <cell r="D241">
            <v>372</v>
          </cell>
          <cell r="E241">
            <v>322</v>
          </cell>
          <cell r="F241">
            <v>271</v>
          </cell>
          <cell r="G241">
            <v>186</v>
          </cell>
          <cell r="H241">
            <v>101</v>
          </cell>
          <cell r="I241">
            <v>494</v>
          </cell>
          <cell r="J241">
            <v>447</v>
          </cell>
          <cell r="K241">
            <v>372</v>
          </cell>
          <cell r="L241">
            <v>322</v>
          </cell>
          <cell r="M241">
            <v>271</v>
          </cell>
          <cell r="N241">
            <v>186</v>
          </cell>
          <cell r="O241">
            <v>101</v>
          </cell>
          <cell r="P241">
            <v>370</v>
          </cell>
          <cell r="Q241">
            <v>342</v>
          </cell>
          <cell r="R241">
            <v>291</v>
          </cell>
          <cell r="S241">
            <v>256</v>
          </cell>
          <cell r="T241">
            <v>220</v>
          </cell>
          <cell r="U241">
            <v>154</v>
          </cell>
          <cell r="V241">
            <v>88</v>
          </cell>
          <cell r="W241">
            <v>370</v>
          </cell>
          <cell r="X241">
            <v>342</v>
          </cell>
          <cell r="Y241">
            <v>291</v>
          </cell>
          <cell r="Z241">
            <v>256</v>
          </cell>
          <cell r="AA241">
            <v>220</v>
          </cell>
          <cell r="AB241">
            <v>154</v>
          </cell>
          <cell r="AC241">
            <v>88</v>
          </cell>
        </row>
        <row r="242">
          <cell r="A242" t="str">
            <v>13-18-23</v>
          </cell>
          <cell r="B242">
            <v>431</v>
          </cell>
          <cell r="C242">
            <v>393</v>
          </cell>
          <cell r="D242">
            <v>331</v>
          </cell>
          <cell r="E242">
            <v>287</v>
          </cell>
          <cell r="F242">
            <v>242</v>
          </cell>
          <cell r="G242">
            <v>166</v>
          </cell>
          <cell r="H242">
            <v>90</v>
          </cell>
          <cell r="I242">
            <v>431</v>
          </cell>
          <cell r="J242">
            <v>393</v>
          </cell>
          <cell r="K242">
            <v>331</v>
          </cell>
          <cell r="L242">
            <v>287</v>
          </cell>
          <cell r="M242">
            <v>242</v>
          </cell>
          <cell r="N242">
            <v>166</v>
          </cell>
          <cell r="O242">
            <v>90</v>
          </cell>
          <cell r="P242">
            <v>323</v>
          </cell>
          <cell r="Q242">
            <v>301</v>
          </cell>
          <cell r="R242">
            <v>259</v>
          </cell>
          <cell r="S242">
            <v>228</v>
          </cell>
          <cell r="T242">
            <v>197</v>
          </cell>
          <cell r="U242">
            <v>138</v>
          </cell>
          <cell r="V242">
            <v>78</v>
          </cell>
          <cell r="W242">
            <v>323</v>
          </cell>
          <cell r="X242">
            <v>301</v>
          </cell>
          <cell r="Y242">
            <v>259</v>
          </cell>
          <cell r="Z242">
            <v>228</v>
          </cell>
          <cell r="AA242">
            <v>197</v>
          </cell>
          <cell r="AB242">
            <v>138</v>
          </cell>
          <cell r="AC242">
            <v>78</v>
          </cell>
        </row>
        <row r="243">
          <cell r="A243" t="str">
            <v>14-16-23</v>
          </cell>
          <cell r="B243">
            <v>543</v>
          </cell>
          <cell r="C243">
            <v>486</v>
          </cell>
          <cell r="D243">
            <v>404</v>
          </cell>
          <cell r="E243">
            <v>347</v>
          </cell>
          <cell r="F243">
            <v>290</v>
          </cell>
          <cell r="G243">
            <v>199</v>
          </cell>
          <cell r="H243">
            <v>107</v>
          </cell>
          <cell r="I243">
            <v>543</v>
          </cell>
          <cell r="J243">
            <v>486</v>
          </cell>
          <cell r="K243">
            <v>404</v>
          </cell>
          <cell r="L243">
            <v>347</v>
          </cell>
          <cell r="M243">
            <v>290</v>
          </cell>
          <cell r="N243">
            <v>199</v>
          </cell>
          <cell r="O243">
            <v>107</v>
          </cell>
          <cell r="P243">
            <v>407</v>
          </cell>
          <cell r="Q243">
            <v>372</v>
          </cell>
          <cell r="R243">
            <v>316</v>
          </cell>
          <cell r="S243">
            <v>276</v>
          </cell>
          <cell r="T243">
            <v>235</v>
          </cell>
          <cell r="U243">
            <v>164</v>
          </cell>
          <cell r="V243">
            <v>93</v>
          </cell>
          <cell r="W243">
            <v>407</v>
          </cell>
          <cell r="X243">
            <v>372</v>
          </cell>
          <cell r="Y243">
            <v>316</v>
          </cell>
          <cell r="Z243">
            <v>276</v>
          </cell>
          <cell r="AA243">
            <v>235</v>
          </cell>
          <cell r="AB243">
            <v>164</v>
          </cell>
          <cell r="AC243">
            <v>93</v>
          </cell>
        </row>
        <row r="244">
          <cell r="A244" t="str">
            <v>14-17-23</v>
          </cell>
          <cell r="B244">
            <v>484</v>
          </cell>
          <cell r="C244">
            <v>437</v>
          </cell>
          <cell r="D244">
            <v>365</v>
          </cell>
          <cell r="E244">
            <v>315</v>
          </cell>
          <cell r="F244">
            <v>265</v>
          </cell>
          <cell r="G244">
            <v>182</v>
          </cell>
          <cell r="H244">
            <v>98</v>
          </cell>
          <cell r="I244">
            <v>484</v>
          </cell>
          <cell r="J244">
            <v>437</v>
          </cell>
          <cell r="K244">
            <v>365</v>
          </cell>
          <cell r="L244">
            <v>315</v>
          </cell>
          <cell r="M244">
            <v>265</v>
          </cell>
          <cell r="N244">
            <v>182</v>
          </cell>
          <cell r="O244">
            <v>98</v>
          </cell>
          <cell r="P244">
            <v>363</v>
          </cell>
          <cell r="Q244">
            <v>335</v>
          </cell>
          <cell r="R244">
            <v>286</v>
          </cell>
          <cell r="S244">
            <v>251</v>
          </cell>
          <cell r="T244">
            <v>215</v>
          </cell>
          <cell r="U244">
            <v>151</v>
          </cell>
          <cell r="V244">
            <v>86</v>
          </cell>
          <cell r="W244">
            <v>363</v>
          </cell>
          <cell r="X244">
            <v>335</v>
          </cell>
          <cell r="Y244">
            <v>286</v>
          </cell>
          <cell r="Z244">
            <v>251</v>
          </cell>
          <cell r="AA244">
            <v>215</v>
          </cell>
          <cell r="AB244">
            <v>151</v>
          </cell>
          <cell r="AC244">
            <v>86</v>
          </cell>
        </row>
        <row r="245">
          <cell r="A245" t="str">
            <v>14-18-23</v>
          </cell>
          <cell r="B245">
            <v>425</v>
          </cell>
          <cell r="C245">
            <v>385</v>
          </cell>
          <cell r="D245">
            <v>325</v>
          </cell>
          <cell r="E245">
            <v>281</v>
          </cell>
          <cell r="F245">
            <v>237</v>
          </cell>
          <cell r="G245">
            <v>164</v>
          </cell>
          <cell r="H245">
            <v>90</v>
          </cell>
          <cell r="I245">
            <v>425</v>
          </cell>
          <cell r="J245">
            <v>385</v>
          </cell>
          <cell r="K245">
            <v>325</v>
          </cell>
          <cell r="L245">
            <v>281</v>
          </cell>
          <cell r="M245">
            <v>237</v>
          </cell>
          <cell r="N245">
            <v>164</v>
          </cell>
          <cell r="O245">
            <v>90</v>
          </cell>
          <cell r="P245">
            <v>318</v>
          </cell>
          <cell r="Q245">
            <v>295</v>
          </cell>
          <cell r="R245">
            <v>254</v>
          </cell>
          <cell r="S245">
            <v>224</v>
          </cell>
          <cell r="T245">
            <v>193</v>
          </cell>
          <cell r="U245">
            <v>136</v>
          </cell>
          <cell r="V245">
            <v>78</v>
          </cell>
          <cell r="W245">
            <v>318</v>
          </cell>
          <cell r="X245">
            <v>295</v>
          </cell>
          <cell r="Y245">
            <v>254</v>
          </cell>
          <cell r="Z245">
            <v>224</v>
          </cell>
          <cell r="AA245">
            <v>193</v>
          </cell>
          <cell r="AB245">
            <v>136</v>
          </cell>
          <cell r="AC245">
            <v>78</v>
          </cell>
        </row>
        <row r="246">
          <cell r="A246" t="str">
            <v>15-17-23</v>
          </cell>
          <cell r="B246">
            <v>475</v>
          </cell>
          <cell r="C246">
            <v>427</v>
          </cell>
          <cell r="D246">
            <v>357</v>
          </cell>
          <cell r="E246">
            <v>308</v>
          </cell>
          <cell r="F246">
            <v>258</v>
          </cell>
          <cell r="G246">
            <v>177</v>
          </cell>
          <cell r="H246">
            <v>96</v>
          </cell>
          <cell r="I246">
            <v>475</v>
          </cell>
          <cell r="J246">
            <v>427</v>
          </cell>
          <cell r="K246">
            <v>357</v>
          </cell>
          <cell r="L246">
            <v>308</v>
          </cell>
          <cell r="M246">
            <v>258</v>
          </cell>
          <cell r="N246">
            <v>177</v>
          </cell>
          <cell r="O246">
            <v>96</v>
          </cell>
          <cell r="P246">
            <v>356</v>
          </cell>
          <cell r="Q246">
            <v>327</v>
          </cell>
          <cell r="R246">
            <v>279</v>
          </cell>
          <cell r="S246">
            <v>245</v>
          </cell>
          <cell r="T246">
            <v>210</v>
          </cell>
          <cell r="U246">
            <v>147</v>
          </cell>
          <cell r="V246">
            <v>83</v>
          </cell>
          <cell r="W246">
            <v>356</v>
          </cell>
          <cell r="X246">
            <v>327</v>
          </cell>
          <cell r="Y246">
            <v>279</v>
          </cell>
          <cell r="Z246">
            <v>245</v>
          </cell>
          <cell r="AA246">
            <v>210</v>
          </cell>
          <cell r="AB246">
            <v>147</v>
          </cell>
          <cell r="AC246">
            <v>83</v>
          </cell>
        </row>
        <row r="247">
          <cell r="A247" t="str">
            <v>15-18-23</v>
          </cell>
          <cell r="B247">
            <v>415</v>
          </cell>
          <cell r="C247">
            <v>376</v>
          </cell>
          <cell r="D247">
            <v>316</v>
          </cell>
          <cell r="E247">
            <v>274</v>
          </cell>
          <cell r="F247">
            <v>232</v>
          </cell>
          <cell r="G247">
            <v>160</v>
          </cell>
          <cell r="H247">
            <v>87</v>
          </cell>
          <cell r="I247">
            <v>415</v>
          </cell>
          <cell r="J247">
            <v>376</v>
          </cell>
          <cell r="K247">
            <v>316</v>
          </cell>
          <cell r="L247">
            <v>274</v>
          </cell>
          <cell r="M247">
            <v>232</v>
          </cell>
          <cell r="N247">
            <v>160</v>
          </cell>
          <cell r="O247">
            <v>87</v>
          </cell>
          <cell r="P247">
            <v>311</v>
          </cell>
          <cell r="Q247">
            <v>288</v>
          </cell>
          <cell r="R247">
            <v>248</v>
          </cell>
          <cell r="S247">
            <v>218</v>
          </cell>
          <cell r="T247">
            <v>188</v>
          </cell>
          <cell r="U247">
            <v>132</v>
          </cell>
          <cell r="V247">
            <v>76</v>
          </cell>
          <cell r="W247">
            <v>311</v>
          </cell>
          <cell r="X247">
            <v>288</v>
          </cell>
          <cell r="Y247">
            <v>248</v>
          </cell>
          <cell r="Z247">
            <v>218</v>
          </cell>
          <cell r="AA247">
            <v>188</v>
          </cell>
          <cell r="AB247">
            <v>132</v>
          </cell>
          <cell r="AC247">
            <v>76</v>
          </cell>
        </row>
        <row r="248">
          <cell r="A248" t="str">
            <v>16-18-23</v>
          </cell>
          <cell r="B248">
            <v>405</v>
          </cell>
          <cell r="C248">
            <v>367</v>
          </cell>
          <cell r="D248">
            <v>308</v>
          </cell>
          <cell r="E248">
            <v>266</v>
          </cell>
          <cell r="F248">
            <v>224</v>
          </cell>
          <cell r="G248">
            <v>155</v>
          </cell>
          <cell r="H248">
            <v>85</v>
          </cell>
          <cell r="I248">
            <v>405</v>
          </cell>
          <cell r="J248">
            <v>367</v>
          </cell>
          <cell r="K248">
            <v>308</v>
          </cell>
          <cell r="L248">
            <v>266</v>
          </cell>
          <cell r="M248">
            <v>224</v>
          </cell>
          <cell r="N248">
            <v>155</v>
          </cell>
          <cell r="O248">
            <v>85</v>
          </cell>
          <cell r="P248">
            <v>303</v>
          </cell>
          <cell r="Q248">
            <v>281</v>
          </cell>
          <cell r="R248">
            <v>241</v>
          </cell>
          <cell r="S248">
            <v>212</v>
          </cell>
          <cell r="T248">
            <v>182</v>
          </cell>
          <cell r="U248">
            <v>128</v>
          </cell>
          <cell r="V248">
            <v>74</v>
          </cell>
          <cell r="W248">
            <v>303</v>
          </cell>
          <cell r="X248">
            <v>281</v>
          </cell>
          <cell r="Y248">
            <v>241</v>
          </cell>
          <cell r="Z248">
            <v>212</v>
          </cell>
          <cell r="AA248">
            <v>182</v>
          </cell>
          <cell r="AB248">
            <v>128</v>
          </cell>
          <cell r="AC248">
            <v>74</v>
          </cell>
        </row>
        <row r="249">
          <cell r="A249" t="str">
            <v>4-6-24</v>
          </cell>
          <cell r="B249">
            <v>1673</v>
          </cell>
          <cell r="C249">
            <v>1458</v>
          </cell>
          <cell r="D249">
            <v>1178</v>
          </cell>
          <cell r="E249">
            <v>1004</v>
          </cell>
          <cell r="F249">
            <v>829</v>
          </cell>
          <cell r="G249">
            <v>575</v>
          </cell>
          <cell r="H249">
            <v>320</v>
          </cell>
          <cell r="I249">
            <v>1165</v>
          </cell>
          <cell r="J249">
            <v>1008</v>
          </cell>
          <cell r="K249">
            <v>808</v>
          </cell>
          <cell r="L249">
            <v>687</v>
          </cell>
          <cell r="M249">
            <v>566</v>
          </cell>
          <cell r="N249">
            <v>392</v>
          </cell>
          <cell r="O249">
            <v>217</v>
          </cell>
          <cell r="P249">
            <v>1254</v>
          </cell>
          <cell r="Q249">
            <v>1115</v>
          </cell>
          <cell r="R249">
            <v>922</v>
          </cell>
          <cell r="S249">
            <v>798</v>
          </cell>
          <cell r="T249">
            <v>673</v>
          </cell>
          <cell r="U249">
            <v>476</v>
          </cell>
          <cell r="V249">
            <v>279</v>
          </cell>
          <cell r="W249">
            <v>874</v>
          </cell>
          <cell r="X249">
            <v>771</v>
          </cell>
          <cell r="Y249">
            <v>632</v>
          </cell>
          <cell r="Z249">
            <v>546</v>
          </cell>
          <cell r="AA249">
            <v>459</v>
          </cell>
          <cell r="AB249">
            <v>324</v>
          </cell>
          <cell r="AC249">
            <v>189</v>
          </cell>
        </row>
        <row r="250">
          <cell r="A250" t="str">
            <v>4-7-24</v>
          </cell>
          <cell r="B250">
            <v>1561</v>
          </cell>
          <cell r="C250">
            <v>1364</v>
          </cell>
          <cell r="D250">
            <v>1107</v>
          </cell>
          <cell r="E250">
            <v>944</v>
          </cell>
          <cell r="F250">
            <v>781</v>
          </cell>
          <cell r="G250">
            <v>542</v>
          </cell>
          <cell r="H250">
            <v>302</v>
          </cell>
          <cell r="I250">
            <v>1115</v>
          </cell>
          <cell r="J250">
            <v>966</v>
          </cell>
          <cell r="K250">
            <v>776</v>
          </cell>
          <cell r="L250">
            <v>660</v>
          </cell>
          <cell r="M250">
            <v>543</v>
          </cell>
          <cell r="N250">
            <v>375</v>
          </cell>
          <cell r="O250">
            <v>207</v>
          </cell>
          <cell r="P250">
            <v>1170</v>
          </cell>
          <cell r="Q250">
            <v>1044</v>
          </cell>
          <cell r="R250">
            <v>867</v>
          </cell>
          <cell r="S250">
            <v>751</v>
          </cell>
          <cell r="T250">
            <v>634</v>
          </cell>
          <cell r="U250">
            <v>449</v>
          </cell>
          <cell r="V250">
            <v>263</v>
          </cell>
          <cell r="W250">
            <v>836</v>
          </cell>
          <cell r="X250">
            <v>740</v>
          </cell>
          <cell r="Y250">
            <v>608</v>
          </cell>
          <cell r="Z250">
            <v>525</v>
          </cell>
          <cell r="AA250">
            <v>441</v>
          </cell>
          <cell r="AB250">
            <v>311</v>
          </cell>
          <cell r="AC250">
            <v>180</v>
          </cell>
        </row>
        <row r="251">
          <cell r="A251" t="str">
            <v>4-8-24</v>
          </cell>
          <cell r="B251">
            <v>1446</v>
          </cell>
          <cell r="C251">
            <v>1268</v>
          </cell>
          <cell r="D251">
            <v>1035</v>
          </cell>
          <cell r="E251">
            <v>884</v>
          </cell>
          <cell r="F251">
            <v>732</v>
          </cell>
          <cell r="G251">
            <v>507</v>
          </cell>
          <cell r="H251">
            <v>282</v>
          </cell>
          <cell r="I251">
            <v>1066</v>
          </cell>
          <cell r="J251">
            <v>925</v>
          </cell>
          <cell r="K251">
            <v>746</v>
          </cell>
          <cell r="L251">
            <v>634</v>
          </cell>
          <cell r="M251">
            <v>521</v>
          </cell>
          <cell r="N251">
            <v>360</v>
          </cell>
          <cell r="O251">
            <v>198</v>
          </cell>
          <cell r="P251">
            <v>1084</v>
          </cell>
          <cell r="Q251">
            <v>970</v>
          </cell>
          <cell r="R251">
            <v>810</v>
          </cell>
          <cell r="S251">
            <v>703</v>
          </cell>
          <cell r="T251">
            <v>595</v>
          </cell>
          <cell r="U251">
            <v>421</v>
          </cell>
          <cell r="V251">
            <v>246</v>
          </cell>
          <cell r="W251">
            <v>799</v>
          </cell>
          <cell r="X251">
            <v>708</v>
          </cell>
          <cell r="Y251">
            <v>584</v>
          </cell>
          <cell r="Z251">
            <v>504</v>
          </cell>
          <cell r="AA251">
            <v>424</v>
          </cell>
          <cell r="AB251">
            <v>299</v>
          </cell>
          <cell r="AC251">
            <v>173</v>
          </cell>
        </row>
        <row r="252">
          <cell r="A252" t="str">
            <v>4-9-24</v>
          </cell>
          <cell r="B252">
            <v>1326</v>
          </cell>
          <cell r="C252">
            <v>1169</v>
          </cell>
          <cell r="D252">
            <v>958</v>
          </cell>
          <cell r="E252">
            <v>819</v>
          </cell>
          <cell r="F252">
            <v>680</v>
          </cell>
          <cell r="G252">
            <v>471</v>
          </cell>
          <cell r="H252">
            <v>261</v>
          </cell>
          <cell r="I252">
            <v>1016</v>
          </cell>
          <cell r="J252">
            <v>884</v>
          </cell>
          <cell r="K252">
            <v>713</v>
          </cell>
          <cell r="L252">
            <v>607</v>
          </cell>
          <cell r="M252">
            <v>501</v>
          </cell>
          <cell r="N252">
            <v>345</v>
          </cell>
          <cell r="O252">
            <v>189</v>
          </cell>
          <cell r="P252">
            <v>994</v>
          </cell>
          <cell r="Q252">
            <v>895</v>
          </cell>
          <cell r="R252">
            <v>750</v>
          </cell>
          <cell r="S252">
            <v>651</v>
          </cell>
          <cell r="T252">
            <v>552</v>
          </cell>
          <cell r="U252">
            <v>390</v>
          </cell>
          <cell r="V252">
            <v>227</v>
          </cell>
          <cell r="W252">
            <v>762</v>
          </cell>
          <cell r="X252">
            <v>677</v>
          </cell>
          <cell r="Y252">
            <v>558</v>
          </cell>
          <cell r="Z252">
            <v>482</v>
          </cell>
          <cell r="AA252">
            <v>406</v>
          </cell>
          <cell r="AB252">
            <v>286</v>
          </cell>
          <cell r="AC252">
            <v>165</v>
          </cell>
        </row>
        <row r="253">
          <cell r="A253" t="str">
            <v>4-10-24</v>
          </cell>
          <cell r="B253">
            <v>1201</v>
          </cell>
          <cell r="C253">
            <v>1064</v>
          </cell>
          <cell r="D253">
            <v>876</v>
          </cell>
          <cell r="E253">
            <v>750</v>
          </cell>
          <cell r="F253">
            <v>624</v>
          </cell>
          <cell r="G253">
            <v>432</v>
          </cell>
          <cell r="H253">
            <v>239</v>
          </cell>
          <cell r="I253">
            <v>967</v>
          </cell>
          <cell r="J253">
            <v>842</v>
          </cell>
          <cell r="K253">
            <v>681</v>
          </cell>
          <cell r="L253">
            <v>579</v>
          </cell>
          <cell r="M253">
            <v>476</v>
          </cell>
          <cell r="N253">
            <v>328</v>
          </cell>
          <cell r="O253">
            <v>179</v>
          </cell>
          <cell r="P253">
            <v>900</v>
          </cell>
          <cell r="Q253">
            <v>814</v>
          </cell>
          <cell r="R253">
            <v>686</v>
          </cell>
          <cell r="S253">
            <v>597</v>
          </cell>
          <cell r="T253">
            <v>507</v>
          </cell>
          <cell r="U253">
            <v>358</v>
          </cell>
          <cell r="V253">
            <v>208</v>
          </cell>
          <cell r="W253">
            <v>724</v>
          </cell>
          <cell r="X253">
            <v>644</v>
          </cell>
          <cell r="Y253">
            <v>534</v>
          </cell>
          <cell r="Z253">
            <v>461</v>
          </cell>
          <cell r="AA253">
            <v>387</v>
          </cell>
          <cell r="AB253">
            <v>272</v>
          </cell>
          <cell r="AC253">
            <v>156</v>
          </cell>
        </row>
        <row r="254">
          <cell r="A254" t="str">
            <v>4-11-24</v>
          </cell>
          <cell r="B254">
            <v>1074</v>
          </cell>
          <cell r="C254">
            <v>948</v>
          </cell>
          <cell r="D254">
            <v>785</v>
          </cell>
          <cell r="E254">
            <v>673</v>
          </cell>
          <cell r="F254">
            <v>560</v>
          </cell>
          <cell r="G254">
            <v>388</v>
          </cell>
          <cell r="H254">
            <v>215</v>
          </cell>
          <cell r="I254">
            <v>920</v>
          </cell>
          <cell r="J254">
            <v>798</v>
          </cell>
          <cell r="K254">
            <v>646</v>
          </cell>
          <cell r="L254">
            <v>549</v>
          </cell>
          <cell r="M254">
            <v>452</v>
          </cell>
          <cell r="N254">
            <v>312</v>
          </cell>
          <cell r="O254">
            <v>171</v>
          </cell>
          <cell r="P254">
            <v>805</v>
          </cell>
          <cell r="Q254">
            <v>725</v>
          </cell>
          <cell r="R254">
            <v>614</v>
          </cell>
          <cell r="S254">
            <v>535</v>
          </cell>
          <cell r="T254">
            <v>455</v>
          </cell>
          <cell r="U254">
            <v>321</v>
          </cell>
          <cell r="V254">
            <v>187</v>
          </cell>
          <cell r="W254">
            <v>690</v>
          </cell>
          <cell r="X254">
            <v>610</v>
          </cell>
          <cell r="Y254">
            <v>505</v>
          </cell>
          <cell r="Z254">
            <v>436</v>
          </cell>
          <cell r="AA254">
            <v>367</v>
          </cell>
          <cell r="AB254">
            <v>258</v>
          </cell>
          <cell r="AC254">
            <v>149</v>
          </cell>
        </row>
        <row r="255">
          <cell r="A255" t="str">
            <v>4-12-24</v>
          </cell>
          <cell r="B255">
            <v>927</v>
          </cell>
          <cell r="C255">
            <v>824</v>
          </cell>
          <cell r="D255">
            <v>686</v>
          </cell>
          <cell r="E255">
            <v>590</v>
          </cell>
          <cell r="F255">
            <v>493</v>
          </cell>
          <cell r="G255">
            <v>340</v>
          </cell>
          <cell r="H255">
            <v>186</v>
          </cell>
          <cell r="I255">
            <v>864</v>
          </cell>
          <cell r="J255">
            <v>752</v>
          </cell>
          <cell r="K255">
            <v>611</v>
          </cell>
          <cell r="L255">
            <v>520</v>
          </cell>
          <cell r="M255">
            <v>428</v>
          </cell>
          <cell r="N255">
            <v>294</v>
          </cell>
          <cell r="O255">
            <v>159</v>
          </cell>
          <cell r="P255">
            <v>695</v>
          </cell>
          <cell r="Q255">
            <v>630</v>
          </cell>
          <cell r="R255">
            <v>537</v>
          </cell>
          <cell r="S255">
            <v>469</v>
          </cell>
          <cell r="T255">
            <v>400</v>
          </cell>
          <cell r="U255">
            <v>281</v>
          </cell>
          <cell r="V255">
            <v>162</v>
          </cell>
          <cell r="W255">
            <v>648</v>
          </cell>
          <cell r="X255">
            <v>575</v>
          </cell>
          <cell r="Y255">
            <v>478</v>
          </cell>
          <cell r="Z255">
            <v>413</v>
          </cell>
          <cell r="AA255">
            <v>347</v>
          </cell>
          <cell r="AB255">
            <v>243</v>
          </cell>
          <cell r="AC255">
            <v>139</v>
          </cell>
        </row>
        <row r="256">
          <cell r="A256" t="str">
            <v>5-7-24</v>
          </cell>
          <cell r="B256">
            <v>1559</v>
          </cell>
          <cell r="C256">
            <v>1361</v>
          </cell>
          <cell r="D256">
            <v>1102</v>
          </cell>
          <cell r="E256">
            <v>939</v>
          </cell>
          <cell r="F256">
            <v>776</v>
          </cell>
          <cell r="G256">
            <v>537</v>
          </cell>
          <cell r="H256">
            <v>298</v>
          </cell>
          <cell r="I256">
            <v>1115</v>
          </cell>
          <cell r="J256">
            <v>965</v>
          </cell>
          <cell r="K256">
            <v>775</v>
          </cell>
          <cell r="L256">
            <v>658</v>
          </cell>
          <cell r="M256">
            <v>540</v>
          </cell>
          <cell r="N256">
            <v>373</v>
          </cell>
          <cell r="O256">
            <v>206</v>
          </cell>
          <cell r="P256">
            <v>1169</v>
          </cell>
          <cell r="Q256">
            <v>1041</v>
          </cell>
          <cell r="R256">
            <v>863</v>
          </cell>
          <cell r="S256">
            <v>747</v>
          </cell>
          <cell r="T256">
            <v>630</v>
          </cell>
          <cell r="U256">
            <v>445</v>
          </cell>
          <cell r="V256">
            <v>260</v>
          </cell>
          <cell r="W256">
            <v>836</v>
          </cell>
          <cell r="X256">
            <v>738</v>
          </cell>
          <cell r="Y256">
            <v>607</v>
          </cell>
          <cell r="Z256">
            <v>523</v>
          </cell>
          <cell r="AA256">
            <v>439</v>
          </cell>
          <cell r="AB256">
            <v>309</v>
          </cell>
          <cell r="AC256">
            <v>179</v>
          </cell>
        </row>
        <row r="257">
          <cell r="A257" t="str">
            <v>5-8-24</v>
          </cell>
          <cell r="B257">
            <v>1441</v>
          </cell>
          <cell r="C257">
            <v>1264</v>
          </cell>
          <cell r="D257">
            <v>1028</v>
          </cell>
          <cell r="E257">
            <v>877</v>
          </cell>
          <cell r="F257">
            <v>726</v>
          </cell>
          <cell r="G257">
            <v>503</v>
          </cell>
          <cell r="H257">
            <v>279</v>
          </cell>
          <cell r="I257">
            <v>1064</v>
          </cell>
          <cell r="J257">
            <v>923</v>
          </cell>
          <cell r="K257">
            <v>743</v>
          </cell>
          <cell r="L257">
            <v>631</v>
          </cell>
          <cell r="M257">
            <v>519</v>
          </cell>
          <cell r="N257">
            <v>358</v>
          </cell>
          <cell r="O257">
            <v>197</v>
          </cell>
          <cell r="P257">
            <v>1080</v>
          </cell>
          <cell r="Q257">
            <v>967</v>
          </cell>
          <cell r="R257">
            <v>805</v>
          </cell>
          <cell r="S257">
            <v>698</v>
          </cell>
          <cell r="T257">
            <v>590</v>
          </cell>
          <cell r="U257">
            <v>417</v>
          </cell>
          <cell r="V257">
            <v>243</v>
          </cell>
          <cell r="W257">
            <v>797</v>
          </cell>
          <cell r="X257">
            <v>706</v>
          </cell>
          <cell r="Y257">
            <v>582</v>
          </cell>
          <cell r="Z257">
            <v>502</v>
          </cell>
          <cell r="AA257">
            <v>422</v>
          </cell>
          <cell r="AB257">
            <v>297</v>
          </cell>
          <cell r="AC257">
            <v>172</v>
          </cell>
        </row>
        <row r="258">
          <cell r="A258" t="str">
            <v>5-9-24</v>
          </cell>
          <cell r="B258">
            <v>1322</v>
          </cell>
          <cell r="C258">
            <v>1163</v>
          </cell>
          <cell r="D258">
            <v>952</v>
          </cell>
          <cell r="E258">
            <v>813</v>
          </cell>
          <cell r="F258">
            <v>674</v>
          </cell>
          <cell r="G258">
            <v>466</v>
          </cell>
          <cell r="H258">
            <v>258</v>
          </cell>
          <cell r="I258">
            <v>1015</v>
          </cell>
          <cell r="J258">
            <v>882</v>
          </cell>
          <cell r="K258">
            <v>712</v>
          </cell>
          <cell r="L258">
            <v>605</v>
          </cell>
          <cell r="M258">
            <v>497</v>
          </cell>
          <cell r="N258">
            <v>342</v>
          </cell>
          <cell r="O258">
            <v>187</v>
          </cell>
          <cell r="P258">
            <v>991</v>
          </cell>
          <cell r="Q258">
            <v>890</v>
          </cell>
          <cell r="R258">
            <v>745</v>
          </cell>
          <cell r="S258">
            <v>647</v>
          </cell>
          <cell r="T258">
            <v>548</v>
          </cell>
          <cell r="U258">
            <v>387</v>
          </cell>
          <cell r="V258">
            <v>225</v>
          </cell>
          <cell r="W258">
            <v>761</v>
          </cell>
          <cell r="X258">
            <v>675</v>
          </cell>
          <cell r="Y258">
            <v>557</v>
          </cell>
          <cell r="Z258">
            <v>481</v>
          </cell>
          <cell r="AA258">
            <v>404</v>
          </cell>
          <cell r="AB258">
            <v>284</v>
          </cell>
          <cell r="AC258">
            <v>163</v>
          </cell>
        </row>
        <row r="259">
          <cell r="A259" t="str">
            <v>5-10-24</v>
          </cell>
          <cell r="B259">
            <v>1196</v>
          </cell>
          <cell r="C259">
            <v>1058</v>
          </cell>
          <cell r="D259">
            <v>872</v>
          </cell>
          <cell r="E259">
            <v>746</v>
          </cell>
          <cell r="F259">
            <v>619</v>
          </cell>
          <cell r="G259">
            <v>428</v>
          </cell>
          <cell r="H259">
            <v>236</v>
          </cell>
          <cell r="I259">
            <v>964</v>
          </cell>
          <cell r="J259">
            <v>839</v>
          </cell>
          <cell r="K259">
            <v>681</v>
          </cell>
          <cell r="L259">
            <v>578</v>
          </cell>
          <cell r="M259">
            <v>475</v>
          </cell>
          <cell r="N259">
            <v>327</v>
          </cell>
          <cell r="O259">
            <v>178</v>
          </cell>
          <cell r="P259">
            <v>896</v>
          </cell>
          <cell r="Q259">
            <v>810</v>
          </cell>
          <cell r="R259">
            <v>682</v>
          </cell>
          <cell r="S259">
            <v>593</v>
          </cell>
          <cell r="T259">
            <v>503</v>
          </cell>
          <cell r="U259">
            <v>355</v>
          </cell>
          <cell r="V259">
            <v>206</v>
          </cell>
          <cell r="W259">
            <v>722</v>
          </cell>
          <cell r="X259">
            <v>643</v>
          </cell>
          <cell r="Y259">
            <v>532</v>
          </cell>
          <cell r="Z259">
            <v>459</v>
          </cell>
          <cell r="AA259">
            <v>386</v>
          </cell>
          <cell r="AB259">
            <v>271</v>
          </cell>
          <cell r="AC259">
            <v>155</v>
          </cell>
        </row>
        <row r="260">
          <cell r="A260" t="str">
            <v>5-11-24</v>
          </cell>
          <cell r="B260">
            <v>1071</v>
          </cell>
          <cell r="C260">
            <v>946</v>
          </cell>
          <cell r="D260">
            <v>781</v>
          </cell>
          <cell r="E260">
            <v>670</v>
          </cell>
          <cell r="F260">
            <v>558</v>
          </cell>
          <cell r="G260">
            <v>385</v>
          </cell>
          <cell r="H260">
            <v>212</v>
          </cell>
          <cell r="I260">
            <v>919</v>
          </cell>
          <cell r="J260">
            <v>797</v>
          </cell>
          <cell r="K260">
            <v>646</v>
          </cell>
          <cell r="L260">
            <v>549</v>
          </cell>
          <cell r="M260">
            <v>451</v>
          </cell>
          <cell r="N260">
            <v>310</v>
          </cell>
          <cell r="O260">
            <v>168</v>
          </cell>
          <cell r="P260">
            <v>803</v>
          </cell>
          <cell r="Q260">
            <v>724</v>
          </cell>
          <cell r="R260">
            <v>612</v>
          </cell>
          <cell r="S260">
            <v>533</v>
          </cell>
          <cell r="T260">
            <v>453</v>
          </cell>
          <cell r="U260">
            <v>319</v>
          </cell>
          <cell r="V260">
            <v>185</v>
          </cell>
          <cell r="W260">
            <v>689</v>
          </cell>
          <cell r="X260">
            <v>610</v>
          </cell>
          <cell r="Y260">
            <v>506</v>
          </cell>
          <cell r="Z260">
            <v>436</v>
          </cell>
          <cell r="AA260">
            <v>366</v>
          </cell>
          <cell r="AB260">
            <v>257</v>
          </cell>
          <cell r="AC260">
            <v>147</v>
          </cell>
        </row>
        <row r="261">
          <cell r="A261" t="str">
            <v>5-12-24</v>
          </cell>
          <cell r="B261">
            <v>925</v>
          </cell>
          <cell r="C261">
            <v>822</v>
          </cell>
          <cell r="D261">
            <v>684</v>
          </cell>
          <cell r="E261">
            <v>587</v>
          </cell>
          <cell r="F261">
            <v>490</v>
          </cell>
          <cell r="G261">
            <v>338</v>
          </cell>
          <cell r="H261">
            <v>186</v>
          </cell>
          <cell r="I261">
            <v>865</v>
          </cell>
          <cell r="J261">
            <v>751</v>
          </cell>
          <cell r="K261">
            <v>611</v>
          </cell>
          <cell r="L261">
            <v>519</v>
          </cell>
          <cell r="M261">
            <v>427</v>
          </cell>
          <cell r="N261">
            <v>293</v>
          </cell>
          <cell r="O261">
            <v>159</v>
          </cell>
          <cell r="P261">
            <v>693</v>
          </cell>
          <cell r="Q261">
            <v>629</v>
          </cell>
          <cell r="R261">
            <v>535</v>
          </cell>
          <cell r="S261">
            <v>467</v>
          </cell>
          <cell r="T261">
            <v>398</v>
          </cell>
          <cell r="U261">
            <v>280</v>
          </cell>
          <cell r="V261">
            <v>162</v>
          </cell>
          <cell r="W261">
            <v>648</v>
          </cell>
          <cell r="X261">
            <v>575</v>
          </cell>
          <cell r="Y261">
            <v>478</v>
          </cell>
          <cell r="Z261">
            <v>413</v>
          </cell>
          <cell r="AA261">
            <v>347</v>
          </cell>
          <cell r="AB261">
            <v>243</v>
          </cell>
          <cell r="AC261">
            <v>139</v>
          </cell>
        </row>
        <row r="262">
          <cell r="A262" t="str">
            <v>5-13-24</v>
          </cell>
          <cell r="B262">
            <v>839</v>
          </cell>
          <cell r="C262">
            <v>746</v>
          </cell>
          <cell r="D262">
            <v>601</v>
          </cell>
          <cell r="E262">
            <v>511</v>
          </cell>
          <cell r="F262">
            <v>421</v>
          </cell>
          <cell r="G262">
            <v>289</v>
          </cell>
          <cell r="H262">
            <v>156</v>
          </cell>
          <cell r="I262">
            <v>839</v>
          </cell>
          <cell r="J262">
            <v>746</v>
          </cell>
          <cell r="K262">
            <v>601</v>
          </cell>
          <cell r="L262">
            <v>511</v>
          </cell>
          <cell r="M262">
            <v>421</v>
          </cell>
          <cell r="N262">
            <v>289</v>
          </cell>
          <cell r="O262">
            <v>156</v>
          </cell>
          <cell r="P262">
            <v>629</v>
          </cell>
          <cell r="Q262">
            <v>571</v>
          </cell>
          <cell r="R262">
            <v>471</v>
          </cell>
          <cell r="S262">
            <v>407</v>
          </cell>
          <cell r="T262">
            <v>342</v>
          </cell>
          <cell r="U262">
            <v>239</v>
          </cell>
          <cell r="V262">
            <v>136</v>
          </cell>
          <cell r="W262">
            <v>629</v>
          </cell>
          <cell r="X262">
            <v>571</v>
          </cell>
          <cell r="Y262">
            <v>471</v>
          </cell>
          <cell r="Z262">
            <v>407</v>
          </cell>
          <cell r="AA262">
            <v>342</v>
          </cell>
          <cell r="AB262">
            <v>239</v>
          </cell>
          <cell r="AC262">
            <v>136</v>
          </cell>
        </row>
        <row r="263">
          <cell r="A263" t="str">
            <v>6-8-24</v>
          </cell>
          <cell r="B263">
            <v>1439</v>
          </cell>
          <cell r="C263">
            <v>1259</v>
          </cell>
          <cell r="D263">
            <v>1022</v>
          </cell>
          <cell r="E263">
            <v>871</v>
          </cell>
          <cell r="F263">
            <v>720</v>
          </cell>
          <cell r="G263">
            <v>498</v>
          </cell>
          <cell r="H263">
            <v>275</v>
          </cell>
          <cell r="I263">
            <v>1063</v>
          </cell>
          <cell r="J263">
            <v>921</v>
          </cell>
          <cell r="K263">
            <v>741</v>
          </cell>
          <cell r="L263">
            <v>629</v>
          </cell>
          <cell r="M263">
            <v>517</v>
          </cell>
          <cell r="N263">
            <v>356</v>
          </cell>
          <cell r="O263">
            <v>195</v>
          </cell>
          <cell r="P263">
            <v>1079</v>
          </cell>
          <cell r="Q263">
            <v>964</v>
          </cell>
          <cell r="R263">
            <v>800</v>
          </cell>
          <cell r="S263">
            <v>692</v>
          </cell>
          <cell r="T263">
            <v>584</v>
          </cell>
          <cell r="U263">
            <v>412</v>
          </cell>
          <cell r="V263">
            <v>240</v>
          </cell>
          <cell r="W263">
            <v>797</v>
          </cell>
          <cell r="X263">
            <v>705</v>
          </cell>
          <cell r="Y263">
            <v>580</v>
          </cell>
          <cell r="Z263">
            <v>500</v>
          </cell>
          <cell r="AA263">
            <v>419</v>
          </cell>
          <cell r="AB263">
            <v>295</v>
          </cell>
          <cell r="AC263">
            <v>170</v>
          </cell>
        </row>
        <row r="264">
          <cell r="A264" t="str">
            <v>6-9-24</v>
          </cell>
          <cell r="B264">
            <v>1317</v>
          </cell>
          <cell r="C264">
            <v>1158</v>
          </cell>
          <cell r="D264">
            <v>946</v>
          </cell>
          <cell r="E264">
            <v>807</v>
          </cell>
          <cell r="F264">
            <v>668</v>
          </cell>
          <cell r="G264">
            <v>462</v>
          </cell>
          <cell r="H264">
            <v>255</v>
          </cell>
          <cell r="I264">
            <v>1014</v>
          </cell>
          <cell r="J264">
            <v>880</v>
          </cell>
          <cell r="K264">
            <v>710</v>
          </cell>
          <cell r="L264">
            <v>603</v>
          </cell>
          <cell r="M264">
            <v>495</v>
          </cell>
          <cell r="N264">
            <v>341</v>
          </cell>
          <cell r="O264">
            <v>187</v>
          </cell>
          <cell r="P264">
            <v>987</v>
          </cell>
          <cell r="Q264">
            <v>886</v>
          </cell>
          <cell r="R264">
            <v>740</v>
          </cell>
          <cell r="S264">
            <v>642</v>
          </cell>
          <cell r="T264">
            <v>543</v>
          </cell>
          <cell r="U264">
            <v>383</v>
          </cell>
          <cell r="V264">
            <v>222</v>
          </cell>
          <cell r="W264">
            <v>760</v>
          </cell>
          <cell r="X264">
            <v>673</v>
          </cell>
          <cell r="Y264">
            <v>555</v>
          </cell>
          <cell r="Z264">
            <v>479</v>
          </cell>
          <cell r="AA264">
            <v>402</v>
          </cell>
          <cell r="AB264">
            <v>283</v>
          </cell>
          <cell r="AC264">
            <v>163</v>
          </cell>
        </row>
        <row r="265">
          <cell r="A265" t="str">
            <v>6-10-24</v>
          </cell>
          <cell r="B265">
            <v>1190</v>
          </cell>
          <cell r="C265">
            <v>1052</v>
          </cell>
          <cell r="D265">
            <v>864</v>
          </cell>
          <cell r="E265">
            <v>739</v>
          </cell>
          <cell r="F265">
            <v>614</v>
          </cell>
          <cell r="G265">
            <v>424</v>
          </cell>
          <cell r="H265">
            <v>234</v>
          </cell>
          <cell r="I265">
            <v>961</v>
          </cell>
          <cell r="J265">
            <v>838</v>
          </cell>
          <cell r="K265">
            <v>677</v>
          </cell>
          <cell r="L265">
            <v>575</v>
          </cell>
          <cell r="M265">
            <v>472</v>
          </cell>
          <cell r="N265">
            <v>325</v>
          </cell>
          <cell r="O265">
            <v>177</v>
          </cell>
          <cell r="P265">
            <v>892</v>
          </cell>
          <cell r="Q265">
            <v>805</v>
          </cell>
          <cell r="R265">
            <v>677</v>
          </cell>
          <cell r="S265">
            <v>588</v>
          </cell>
          <cell r="T265">
            <v>499</v>
          </cell>
          <cell r="U265">
            <v>352</v>
          </cell>
          <cell r="V265">
            <v>204</v>
          </cell>
          <cell r="W265">
            <v>720</v>
          </cell>
          <cell r="X265">
            <v>641</v>
          </cell>
          <cell r="Y265">
            <v>530</v>
          </cell>
          <cell r="Z265">
            <v>457</v>
          </cell>
          <cell r="AA265">
            <v>384</v>
          </cell>
          <cell r="AB265">
            <v>270</v>
          </cell>
          <cell r="AC265">
            <v>155</v>
          </cell>
        </row>
        <row r="266">
          <cell r="A266" t="str">
            <v>6-11-24</v>
          </cell>
          <cell r="B266">
            <v>1068</v>
          </cell>
          <cell r="C266">
            <v>941</v>
          </cell>
          <cell r="D266">
            <v>778</v>
          </cell>
          <cell r="E266">
            <v>667</v>
          </cell>
          <cell r="F266">
            <v>555</v>
          </cell>
          <cell r="G266">
            <v>383</v>
          </cell>
          <cell r="H266">
            <v>211</v>
          </cell>
          <cell r="I266">
            <v>918</v>
          </cell>
          <cell r="J266">
            <v>795</v>
          </cell>
          <cell r="K266">
            <v>645</v>
          </cell>
          <cell r="L266">
            <v>548</v>
          </cell>
          <cell r="M266">
            <v>451</v>
          </cell>
          <cell r="N266">
            <v>310</v>
          </cell>
          <cell r="O266">
            <v>168</v>
          </cell>
          <cell r="P266">
            <v>801</v>
          </cell>
          <cell r="Q266">
            <v>720</v>
          </cell>
          <cell r="R266">
            <v>609</v>
          </cell>
          <cell r="S266">
            <v>530</v>
          </cell>
          <cell r="T266">
            <v>451</v>
          </cell>
          <cell r="U266">
            <v>317</v>
          </cell>
          <cell r="V266">
            <v>183</v>
          </cell>
          <cell r="W266">
            <v>688</v>
          </cell>
          <cell r="X266">
            <v>608</v>
          </cell>
          <cell r="Y266">
            <v>505</v>
          </cell>
          <cell r="Z266">
            <v>436</v>
          </cell>
          <cell r="AA266">
            <v>367</v>
          </cell>
          <cell r="AB266">
            <v>256</v>
          </cell>
          <cell r="AC266">
            <v>145</v>
          </cell>
        </row>
        <row r="267">
          <cell r="A267" t="str">
            <v>6-12-24</v>
          </cell>
          <cell r="B267">
            <v>922</v>
          </cell>
          <cell r="C267">
            <v>818</v>
          </cell>
          <cell r="D267">
            <v>680</v>
          </cell>
          <cell r="E267">
            <v>584</v>
          </cell>
          <cell r="F267">
            <v>488</v>
          </cell>
          <cell r="G267">
            <v>337</v>
          </cell>
          <cell r="H267">
            <v>186</v>
          </cell>
          <cell r="I267">
            <v>863</v>
          </cell>
          <cell r="J267">
            <v>751</v>
          </cell>
          <cell r="K267">
            <v>609</v>
          </cell>
          <cell r="L267">
            <v>518</v>
          </cell>
          <cell r="M267">
            <v>427</v>
          </cell>
          <cell r="N267">
            <v>293</v>
          </cell>
          <cell r="O267">
            <v>159</v>
          </cell>
          <cell r="P267">
            <v>691</v>
          </cell>
          <cell r="Q267">
            <v>626</v>
          </cell>
          <cell r="R267">
            <v>533</v>
          </cell>
          <cell r="S267">
            <v>465</v>
          </cell>
          <cell r="T267">
            <v>396</v>
          </cell>
          <cell r="U267">
            <v>279</v>
          </cell>
          <cell r="V267">
            <v>162</v>
          </cell>
          <cell r="W267">
            <v>647</v>
          </cell>
          <cell r="X267">
            <v>575</v>
          </cell>
          <cell r="Y267">
            <v>478</v>
          </cell>
          <cell r="Z267">
            <v>412</v>
          </cell>
          <cell r="AA267">
            <v>346</v>
          </cell>
          <cell r="AB267">
            <v>243</v>
          </cell>
          <cell r="AC267">
            <v>139</v>
          </cell>
        </row>
        <row r="268">
          <cell r="A268" t="str">
            <v>6-13-24</v>
          </cell>
          <cell r="B268">
            <v>834</v>
          </cell>
          <cell r="C268">
            <v>741</v>
          </cell>
          <cell r="D268">
            <v>597</v>
          </cell>
          <cell r="E268">
            <v>508</v>
          </cell>
          <cell r="F268">
            <v>419</v>
          </cell>
          <cell r="G268">
            <v>288</v>
          </cell>
          <cell r="H268">
            <v>156</v>
          </cell>
          <cell r="I268">
            <v>834</v>
          </cell>
          <cell r="J268">
            <v>741</v>
          </cell>
          <cell r="K268">
            <v>597</v>
          </cell>
          <cell r="L268">
            <v>508</v>
          </cell>
          <cell r="M268">
            <v>419</v>
          </cell>
          <cell r="N268">
            <v>288</v>
          </cell>
          <cell r="O268">
            <v>156</v>
          </cell>
          <cell r="P268">
            <v>625</v>
          </cell>
          <cell r="Q268">
            <v>567</v>
          </cell>
          <cell r="R268">
            <v>468</v>
          </cell>
          <cell r="S268">
            <v>404</v>
          </cell>
          <cell r="T268">
            <v>340</v>
          </cell>
          <cell r="U268">
            <v>238</v>
          </cell>
          <cell r="V268">
            <v>136</v>
          </cell>
          <cell r="W268">
            <v>625</v>
          </cell>
          <cell r="X268">
            <v>567</v>
          </cell>
          <cell r="Y268">
            <v>468</v>
          </cell>
          <cell r="Z268">
            <v>404</v>
          </cell>
          <cell r="AA268">
            <v>340</v>
          </cell>
          <cell r="AB268">
            <v>238</v>
          </cell>
          <cell r="AC268">
            <v>136</v>
          </cell>
        </row>
        <row r="269">
          <cell r="A269" t="str">
            <v>6-14-24</v>
          </cell>
          <cell r="B269">
            <v>779</v>
          </cell>
          <cell r="C269">
            <v>695</v>
          </cell>
          <cell r="D269">
            <v>564</v>
          </cell>
          <cell r="E269">
            <v>480</v>
          </cell>
          <cell r="F269">
            <v>396</v>
          </cell>
          <cell r="G269">
            <v>272</v>
          </cell>
          <cell r="H269">
            <v>147</v>
          </cell>
          <cell r="I269">
            <v>779</v>
          </cell>
          <cell r="J269">
            <v>695</v>
          </cell>
          <cell r="K269">
            <v>564</v>
          </cell>
          <cell r="L269">
            <v>480</v>
          </cell>
          <cell r="M269">
            <v>396</v>
          </cell>
          <cell r="N269">
            <v>272</v>
          </cell>
          <cell r="O269">
            <v>147</v>
          </cell>
          <cell r="P269">
            <v>584</v>
          </cell>
          <cell r="Q269">
            <v>532</v>
          </cell>
          <cell r="R269">
            <v>441</v>
          </cell>
          <cell r="S269">
            <v>382</v>
          </cell>
          <cell r="T269">
            <v>322</v>
          </cell>
          <cell r="U269">
            <v>225</v>
          </cell>
          <cell r="V269">
            <v>128</v>
          </cell>
          <cell r="W269">
            <v>584</v>
          </cell>
          <cell r="X269">
            <v>532</v>
          </cell>
          <cell r="Y269">
            <v>441</v>
          </cell>
          <cell r="Z269">
            <v>382</v>
          </cell>
          <cell r="AA269">
            <v>322</v>
          </cell>
          <cell r="AB269">
            <v>225</v>
          </cell>
          <cell r="AC269">
            <v>128</v>
          </cell>
        </row>
        <row r="270">
          <cell r="A270" t="str">
            <v>7-9-24</v>
          </cell>
          <cell r="B270">
            <v>1312</v>
          </cell>
          <cell r="C270">
            <v>1152</v>
          </cell>
          <cell r="D270">
            <v>938</v>
          </cell>
          <cell r="E270">
            <v>800</v>
          </cell>
          <cell r="F270">
            <v>662</v>
          </cell>
          <cell r="G270">
            <v>457</v>
          </cell>
          <cell r="H270">
            <v>251</v>
          </cell>
          <cell r="I270">
            <v>1011</v>
          </cell>
          <cell r="J270">
            <v>877</v>
          </cell>
          <cell r="K270">
            <v>707</v>
          </cell>
          <cell r="L270">
            <v>600</v>
          </cell>
          <cell r="M270">
            <v>493</v>
          </cell>
          <cell r="N270">
            <v>339</v>
          </cell>
          <cell r="O270">
            <v>184</v>
          </cell>
          <cell r="P270">
            <v>984</v>
          </cell>
          <cell r="Q270">
            <v>881</v>
          </cell>
          <cell r="R270">
            <v>735</v>
          </cell>
          <cell r="S270">
            <v>637</v>
          </cell>
          <cell r="T270">
            <v>538</v>
          </cell>
          <cell r="U270">
            <v>379</v>
          </cell>
          <cell r="V270">
            <v>219</v>
          </cell>
          <cell r="W270">
            <v>758</v>
          </cell>
          <cell r="X270">
            <v>671</v>
          </cell>
          <cell r="Y270">
            <v>554</v>
          </cell>
          <cell r="Z270">
            <v>477</v>
          </cell>
          <cell r="AA270">
            <v>400</v>
          </cell>
          <cell r="AB270">
            <v>280</v>
          </cell>
          <cell r="AC270">
            <v>160</v>
          </cell>
        </row>
        <row r="271">
          <cell r="A271" t="str">
            <v>7-10-24</v>
          </cell>
          <cell r="B271">
            <v>1185</v>
          </cell>
          <cell r="C271">
            <v>1046</v>
          </cell>
          <cell r="D271">
            <v>857</v>
          </cell>
          <cell r="E271">
            <v>733</v>
          </cell>
          <cell r="F271">
            <v>608</v>
          </cell>
          <cell r="G271">
            <v>420</v>
          </cell>
          <cell r="H271">
            <v>231</v>
          </cell>
          <cell r="I271">
            <v>960</v>
          </cell>
          <cell r="J271">
            <v>835</v>
          </cell>
          <cell r="K271">
            <v>674</v>
          </cell>
          <cell r="L271">
            <v>572</v>
          </cell>
          <cell r="M271">
            <v>470</v>
          </cell>
          <cell r="N271">
            <v>323</v>
          </cell>
          <cell r="O271">
            <v>176</v>
          </cell>
          <cell r="P271">
            <v>888</v>
          </cell>
          <cell r="Q271">
            <v>800</v>
          </cell>
          <cell r="R271">
            <v>671</v>
          </cell>
          <cell r="S271">
            <v>583</v>
          </cell>
          <cell r="T271">
            <v>494</v>
          </cell>
          <cell r="U271">
            <v>348</v>
          </cell>
          <cell r="V271">
            <v>201</v>
          </cell>
          <cell r="W271">
            <v>720</v>
          </cell>
          <cell r="X271">
            <v>639</v>
          </cell>
          <cell r="Y271">
            <v>528</v>
          </cell>
          <cell r="Z271">
            <v>455</v>
          </cell>
          <cell r="AA271">
            <v>382</v>
          </cell>
          <cell r="AB271">
            <v>268</v>
          </cell>
          <cell r="AC271">
            <v>153</v>
          </cell>
        </row>
        <row r="272">
          <cell r="A272" t="str">
            <v>7-11-24</v>
          </cell>
          <cell r="B272">
            <v>1062</v>
          </cell>
          <cell r="C272">
            <v>935</v>
          </cell>
          <cell r="D272">
            <v>772</v>
          </cell>
          <cell r="E272">
            <v>661</v>
          </cell>
          <cell r="F272">
            <v>550</v>
          </cell>
          <cell r="G272">
            <v>380</v>
          </cell>
          <cell r="H272">
            <v>209</v>
          </cell>
          <cell r="I272">
            <v>916</v>
          </cell>
          <cell r="J272">
            <v>794</v>
          </cell>
          <cell r="K272">
            <v>643</v>
          </cell>
          <cell r="L272">
            <v>546</v>
          </cell>
          <cell r="M272">
            <v>449</v>
          </cell>
          <cell r="N272">
            <v>308</v>
          </cell>
          <cell r="O272">
            <v>167</v>
          </cell>
          <cell r="P272">
            <v>796</v>
          </cell>
          <cell r="Q272">
            <v>715</v>
          </cell>
          <cell r="R272">
            <v>604</v>
          </cell>
          <cell r="S272">
            <v>526</v>
          </cell>
          <cell r="T272">
            <v>447</v>
          </cell>
          <cell r="U272">
            <v>315</v>
          </cell>
          <cell r="V272">
            <v>182</v>
          </cell>
          <cell r="W272">
            <v>686</v>
          </cell>
          <cell r="X272">
            <v>607</v>
          </cell>
          <cell r="Y272">
            <v>503</v>
          </cell>
          <cell r="Z272">
            <v>434</v>
          </cell>
          <cell r="AA272">
            <v>365</v>
          </cell>
          <cell r="AB272">
            <v>255</v>
          </cell>
          <cell r="AC272">
            <v>145</v>
          </cell>
        </row>
        <row r="273">
          <cell r="A273" t="str">
            <v>7-12-24</v>
          </cell>
          <cell r="B273">
            <v>919</v>
          </cell>
          <cell r="C273">
            <v>815</v>
          </cell>
          <cell r="D273">
            <v>677</v>
          </cell>
          <cell r="E273">
            <v>581</v>
          </cell>
          <cell r="F273">
            <v>485</v>
          </cell>
          <cell r="G273">
            <v>334</v>
          </cell>
          <cell r="H273">
            <v>183</v>
          </cell>
          <cell r="I273">
            <v>862</v>
          </cell>
          <cell r="J273">
            <v>749</v>
          </cell>
          <cell r="K273">
            <v>608</v>
          </cell>
          <cell r="L273">
            <v>517</v>
          </cell>
          <cell r="M273">
            <v>425</v>
          </cell>
          <cell r="N273">
            <v>291</v>
          </cell>
          <cell r="O273">
            <v>157</v>
          </cell>
          <cell r="P273">
            <v>689</v>
          </cell>
          <cell r="Q273">
            <v>623</v>
          </cell>
          <cell r="R273">
            <v>530</v>
          </cell>
          <cell r="S273">
            <v>462</v>
          </cell>
          <cell r="T273">
            <v>394</v>
          </cell>
          <cell r="U273">
            <v>277</v>
          </cell>
          <cell r="V273">
            <v>160</v>
          </cell>
          <cell r="W273">
            <v>646</v>
          </cell>
          <cell r="X273">
            <v>572</v>
          </cell>
          <cell r="Y273">
            <v>476</v>
          </cell>
          <cell r="Z273">
            <v>411</v>
          </cell>
          <cell r="AA273">
            <v>345</v>
          </cell>
          <cell r="AB273">
            <v>241</v>
          </cell>
          <cell r="AC273">
            <v>137</v>
          </cell>
        </row>
        <row r="274">
          <cell r="A274" t="str">
            <v>7-13-24</v>
          </cell>
          <cell r="B274">
            <v>828</v>
          </cell>
          <cell r="C274">
            <v>735</v>
          </cell>
          <cell r="D274">
            <v>591</v>
          </cell>
          <cell r="E274">
            <v>503</v>
          </cell>
          <cell r="F274">
            <v>415</v>
          </cell>
          <cell r="G274">
            <v>285</v>
          </cell>
          <cell r="H274">
            <v>154</v>
          </cell>
          <cell r="I274">
            <v>828</v>
          </cell>
          <cell r="J274">
            <v>735</v>
          </cell>
          <cell r="K274">
            <v>591</v>
          </cell>
          <cell r="L274">
            <v>503</v>
          </cell>
          <cell r="M274">
            <v>415</v>
          </cell>
          <cell r="N274">
            <v>285</v>
          </cell>
          <cell r="O274">
            <v>154</v>
          </cell>
          <cell r="P274">
            <v>621</v>
          </cell>
          <cell r="Q274">
            <v>562</v>
          </cell>
          <cell r="R274">
            <v>463</v>
          </cell>
          <cell r="S274">
            <v>400</v>
          </cell>
          <cell r="T274">
            <v>337</v>
          </cell>
          <cell r="U274">
            <v>236</v>
          </cell>
          <cell r="V274">
            <v>134</v>
          </cell>
          <cell r="W274">
            <v>621</v>
          </cell>
          <cell r="X274">
            <v>562</v>
          </cell>
          <cell r="Y274">
            <v>463</v>
          </cell>
          <cell r="Z274">
            <v>400</v>
          </cell>
          <cell r="AA274">
            <v>337</v>
          </cell>
          <cell r="AB274">
            <v>236</v>
          </cell>
          <cell r="AC274">
            <v>134</v>
          </cell>
        </row>
        <row r="275">
          <cell r="A275" t="str">
            <v>7-14-24</v>
          </cell>
          <cell r="B275">
            <v>774</v>
          </cell>
          <cell r="C275">
            <v>690</v>
          </cell>
          <cell r="D275">
            <v>559</v>
          </cell>
          <cell r="E275">
            <v>477</v>
          </cell>
          <cell r="F275">
            <v>394</v>
          </cell>
          <cell r="G275">
            <v>271</v>
          </cell>
          <cell r="H275">
            <v>147</v>
          </cell>
          <cell r="I275">
            <v>774</v>
          </cell>
          <cell r="J275">
            <v>690</v>
          </cell>
          <cell r="K275">
            <v>559</v>
          </cell>
          <cell r="L275">
            <v>477</v>
          </cell>
          <cell r="M275">
            <v>394</v>
          </cell>
          <cell r="N275">
            <v>271</v>
          </cell>
          <cell r="O275">
            <v>147</v>
          </cell>
          <cell r="P275">
            <v>580</v>
          </cell>
          <cell r="Q275">
            <v>528</v>
          </cell>
          <cell r="R275">
            <v>437</v>
          </cell>
          <cell r="S275">
            <v>379</v>
          </cell>
          <cell r="T275">
            <v>320</v>
          </cell>
          <cell r="U275">
            <v>224</v>
          </cell>
          <cell r="V275">
            <v>128</v>
          </cell>
          <cell r="W275">
            <v>580</v>
          </cell>
          <cell r="X275">
            <v>528</v>
          </cell>
          <cell r="Y275">
            <v>437</v>
          </cell>
          <cell r="Z275">
            <v>379</v>
          </cell>
          <cell r="AA275">
            <v>320</v>
          </cell>
          <cell r="AB275">
            <v>224</v>
          </cell>
          <cell r="AC275">
            <v>128</v>
          </cell>
        </row>
        <row r="276">
          <cell r="A276" t="str">
            <v>7-15-24</v>
          </cell>
          <cell r="B276">
            <v>717</v>
          </cell>
          <cell r="C276">
            <v>641</v>
          </cell>
          <cell r="D276">
            <v>528</v>
          </cell>
          <cell r="E276">
            <v>451</v>
          </cell>
          <cell r="F276">
            <v>374</v>
          </cell>
          <cell r="G276">
            <v>255</v>
          </cell>
          <cell r="H276">
            <v>136</v>
          </cell>
          <cell r="I276">
            <v>717</v>
          </cell>
          <cell r="J276">
            <v>641</v>
          </cell>
          <cell r="K276">
            <v>528</v>
          </cell>
          <cell r="L276">
            <v>451</v>
          </cell>
          <cell r="M276">
            <v>374</v>
          </cell>
          <cell r="N276">
            <v>255</v>
          </cell>
          <cell r="O276">
            <v>136</v>
          </cell>
          <cell r="P276">
            <v>537</v>
          </cell>
          <cell r="Q276">
            <v>490</v>
          </cell>
          <cell r="R276">
            <v>413</v>
          </cell>
          <cell r="S276">
            <v>359</v>
          </cell>
          <cell r="T276">
            <v>304</v>
          </cell>
          <cell r="U276">
            <v>211</v>
          </cell>
          <cell r="V276">
            <v>118</v>
          </cell>
          <cell r="W276">
            <v>537</v>
          </cell>
          <cell r="X276">
            <v>490</v>
          </cell>
          <cell r="Y276">
            <v>413</v>
          </cell>
          <cell r="Z276">
            <v>359</v>
          </cell>
          <cell r="AA276">
            <v>304</v>
          </cell>
          <cell r="AB276">
            <v>211</v>
          </cell>
          <cell r="AC276">
            <v>118</v>
          </cell>
        </row>
        <row r="277">
          <cell r="A277" t="str">
            <v>8-10-24</v>
          </cell>
          <cell r="B277">
            <v>1180</v>
          </cell>
          <cell r="C277">
            <v>1039</v>
          </cell>
          <cell r="D277">
            <v>850</v>
          </cell>
          <cell r="E277">
            <v>726</v>
          </cell>
          <cell r="F277">
            <v>601</v>
          </cell>
          <cell r="G277">
            <v>414</v>
          </cell>
          <cell r="H277">
            <v>226</v>
          </cell>
          <cell r="I277">
            <v>958</v>
          </cell>
          <cell r="J277">
            <v>833</v>
          </cell>
          <cell r="K277">
            <v>672</v>
          </cell>
          <cell r="L277">
            <v>570</v>
          </cell>
          <cell r="M277">
            <v>468</v>
          </cell>
          <cell r="N277">
            <v>321</v>
          </cell>
          <cell r="O277">
            <v>174</v>
          </cell>
          <cell r="P277">
            <v>884</v>
          </cell>
          <cell r="Q277">
            <v>795</v>
          </cell>
          <cell r="R277">
            <v>665</v>
          </cell>
          <cell r="S277">
            <v>577</v>
          </cell>
          <cell r="T277">
            <v>488</v>
          </cell>
          <cell r="U277">
            <v>343</v>
          </cell>
          <cell r="V277">
            <v>197</v>
          </cell>
          <cell r="W277">
            <v>718</v>
          </cell>
          <cell r="X277">
            <v>637</v>
          </cell>
          <cell r="Y277">
            <v>526</v>
          </cell>
          <cell r="Z277">
            <v>453</v>
          </cell>
          <cell r="AA277">
            <v>380</v>
          </cell>
          <cell r="AB277">
            <v>266</v>
          </cell>
          <cell r="AC277">
            <v>151</v>
          </cell>
        </row>
        <row r="278">
          <cell r="A278" t="str">
            <v>8-11-24</v>
          </cell>
          <cell r="B278">
            <v>1055</v>
          </cell>
          <cell r="C278">
            <v>927</v>
          </cell>
          <cell r="D278">
            <v>763</v>
          </cell>
          <cell r="E278">
            <v>653</v>
          </cell>
          <cell r="F278">
            <v>543</v>
          </cell>
          <cell r="G278">
            <v>375</v>
          </cell>
          <cell r="H278">
            <v>206</v>
          </cell>
          <cell r="I278">
            <v>914</v>
          </cell>
          <cell r="J278">
            <v>789</v>
          </cell>
          <cell r="K278">
            <v>639</v>
          </cell>
          <cell r="L278">
            <v>543</v>
          </cell>
          <cell r="M278">
            <v>446</v>
          </cell>
          <cell r="N278">
            <v>306</v>
          </cell>
          <cell r="O278">
            <v>166</v>
          </cell>
          <cell r="P278">
            <v>791</v>
          </cell>
          <cell r="Q278">
            <v>710</v>
          </cell>
          <cell r="R278">
            <v>597</v>
          </cell>
          <cell r="S278">
            <v>519</v>
          </cell>
          <cell r="T278">
            <v>441</v>
          </cell>
          <cell r="U278">
            <v>310</v>
          </cell>
          <cell r="V278">
            <v>179</v>
          </cell>
          <cell r="W278">
            <v>685</v>
          </cell>
          <cell r="X278">
            <v>604</v>
          </cell>
          <cell r="Y278">
            <v>500</v>
          </cell>
          <cell r="Z278">
            <v>432</v>
          </cell>
          <cell r="AA278">
            <v>363</v>
          </cell>
          <cell r="AB278">
            <v>254</v>
          </cell>
          <cell r="AC278">
            <v>144</v>
          </cell>
        </row>
        <row r="279">
          <cell r="A279" t="str">
            <v>8-12-24</v>
          </cell>
          <cell r="B279">
            <v>915</v>
          </cell>
          <cell r="C279">
            <v>810</v>
          </cell>
          <cell r="D279">
            <v>672</v>
          </cell>
          <cell r="E279">
            <v>577</v>
          </cell>
          <cell r="F279">
            <v>481</v>
          </cell>
          <cell r="G279">
            <v>331</v>
          </cell>
          <cell r="H279">
            <v>181</v>
          </cell>
          <cell r="I279">
            <v>861</v>
          </cell>
          <cell r="J279">
            <v>747</v>
          </cell>
          <cell r="K279">
            <v>606</v>
          </cell>
          <cell r="L279">
            <v>515</v>
          </cell>
          <cell r="M279">
            <v>423</v>
          </cell>
          <cell r="N279">
            <v>290</v>
          </cell>
          <cell r="O279">
            <v>156</v>
          </cell>
          <cell r="P279">
            <v>686</v>
          </cell>
          <cell r="Q279">
            <v>620</v>
          </cell>
          <cell r="R279">
            <v>526</v>
          </cell>
          <cell r="S279">
            <v>459</v>
          </cell>
          <cell r="T279">
            <v>391</v>
          </cell>
          <cell r="U279">
            <v>275</v>
          </cell>
          <cell r="V279">
            <v>158</v>
          </cell>
          <cell r="W279">
            <v>645</v>
          </cell>
          <cell r="X279">
            <v>572</v>
          </cell>
          <cell r="Y279">
            <v>475</v>
          </cell>
          <cell r="Z279">
            <v>410</v>
          </cell>
          <cell r="AA279">
            <v>344</v>
          </cell>
          <cell r="AB279">
            <v>240</v>
          </cell>
          <cell r="AC279">
            <v>136</v>
          </cell>
        </row>
        <row r="280">
          <cell r="A280" t="str">
            <v>8-13-24</v>
          </cell>
          <cell r="B280">
            <v>821</v>
          </cell>
          <cell r="C280">
            <v>728</v>
          </cell>
          <cell r="D280">
            <v>587</v>
          </cell>
          <cell r="E280">
            <v>499</v>
          </cell>
          <cell r="F280">
            <v>411</v>
          </cell>
          <cell r="G280">
            <v>281</v>
          </cell>
          <cell r="H280">
            <v>151</v>
          </cell>
          <cell r="I280">
            <v>821</v>
          </cell>
          <cell r="J280">
            <v>728</v>
          </cell>
          <cell r="K280">
            <v>587</v>
          </cell>
          <cell r="L280">
            <v>499</v>
          </cell>
          <cell r="M280">
            <v>411</v>
          </cell>
          <cell r="N280">
            <v>281</v>
          </cell>
          <cell r="O280">
            <v>151</v>
          </cell>
          <cell r="P280">
            <v>616</v>
          </cell>
          <cell r="Q280">
            <v>557</v>
          </cell>
          <cell r="R280">
            <v>459</v>
          </cell>
          <cell r="S280">
            <v>397</v>
          </cell>
          <cell r="T280">
            <v>334</v>
          </cell>
          <cell r="U280">
            <v>233</v>
          </cell>
          <cell r="V280">
            <v>132</v>
          </cell>
          <cell r="W280">
            <v>616</v>
          </cell>
          <cell r="X280">
            <v>557</v>
          </cell>
          <cell r="Y280">
            <v>459</v>
          </cell>
          <cell r="Z280">
            <v>397</v>
          </cell>
          <cell r="AA280">
            <v>334</v>
          </cell>
          <cell r="AB280">
            <v>233</v>
          </cell>
          <cell r="AC280">
            <v>132</v>
          </cell>
        </row>
        <row r="281">
          <cell r="A281" t="str">
            <v>8-14-24</v>
          </cell>
          <cell r="B281">
            <v>768</v>
          </cell>
          <cell r="C281">
            <v>684</v>
          </cell>
          <cell r="D281">
            <v>554</v>
          </cell>
          <cell r="E281">
            <v>472</v>
          </cell>
          <cell r="F281">
            <v>390</v>
          </cell>
          <cell r="G281">
            <v>267</v>
          </cell>
          <cell r="H281">
            <v>144</v>
          </cell>
          <cell r="I281">
            <v>768</v>
          </cell>
          <cell r="J281">
            <v>684</v>
          </cell>
          <cell r="K281">
            <v>554</v>
          </cell>
          <cell r="L281">
            <v>472</v>
          </cell>
          <cell r="M281">
            <v>390</v>
          </cell>
          <cell r="N281">
            <v>267</v>
          </cell>
          <cell r="O281">
            <v>144</v>
          </cell>
          <cell r="P281">
            <v>575</v>
          </cell>
          <cell r="Q281">
            <v>523</v>
          </cell>
          <cell r="R281">
            <v>434</v>
          </cell>
          <cell r="S281">
            <v>376</v>
          </cell>
          <cell r="T281">
            <v>317</v>
          </cell>
          <cell r="U281">
            <v>221</v>
          </cell>
          <cell r="V281">
            <v>125</v>
          </cell>
          <cell r="W281">
            <v>575</v>
          </cell>
          <cell r="X281">
            <v>523</v>
          </cell>
          <cell r="Y281">
            <v>434</v>
          </cell>
          <cell r="Z281">
            <v>376</v>
          </cell>
          <cell r="AA281">
            <v>317</v>
          </cell>
          <cell r="AB281">
            <v>221</v>
          </cell>
          <cell r="AC281">
            <v>125</v>
          </cell>
        </row>
        <row r="282">
          <cell r="A282" t="str">
            <v>8-15-24</v>
          </cell>
          <cell r="B282">
            <v>713</v>
          </cell>
          <cell r="C282">
            <v>637</v>
          </cell>
          <cell r="D282">
            <v>525</v>
          </cell>
          <cell r="E282">
            <v>446</v>
          </cell>
          <cell r="F282">
            <v>367</v>
          </cell>
          <cell r="G282">
            <v>252</v>
          </cell>
          <cell r="H282">
            <v>136</v>
          </cell>
          <cell r="I282">
            <v>713</v>
          </cell>
          <cell r="J282">
            <v>637</v>
          </cell>
          <cell r="K282">
            <v>525</v>
          </cell>
          <cell r="L282">
            <v>446</v>
          </cell>
          <cell r="M282">
            <v>367</v>
          </cell>
          <cell r="N282">
            <v>252</v>
          </cell>
          <cell r="O282">
            <v>136</v>
          </cell>
          <cell r="P282">
            <v>534</v>
          </cell>
          <cell r="Q282">
            <v>487</v>
          </cell>
          <cell r="R282">
            <v>411</v>
          </cell>
          <cell r="S282">
            <v>355</v>
          </cell>
          <cell r="T282">
            <v>298</v>
          </cell>
          <cell r="U282">
            <v>208</v>
          </cell>
          <cell r="V282">
            <v>118</v>
          </cell>
          <cell r="W282">
            <v>534</v>
          </cell>
          <cell r="X282">
            <v>487</v>
          </cell>
          <cell r="Y282">
            <v>411</v>
          </cell>
          <cell r="Z282">
            <v>355</v>
          </cell>
          <cell r="AA282">
            <v>298</v>
          </cell>
          <cell r="AB282">
            <v>208</v>
          </cell>
          <cell r="AC282">
            <v>118</v>
          </cell>
        </row>
        <row r="283">
          <cell r="A283" t="str">
            <v>8-16-24</v>
          </cell>
          <cell r="B283">
            <v>653</v>
          </cell>
          <cell r="C283">
            <v>586</v>
          </cell>
          <cell r="D283">
            <v>485</v>
          </cell>
          <cell r="E283">
            <v>414</v>
          </cell>
          <cell r="F283">
            <v>343</v>
          </cell>
          <cell r="G283">
            <v>234</v>
          </cell>
          <cell r="H283">
            <v>125</v>
          </cell>
          <cell r="I283">
            <v>653</v>
          </cell>
          <cell r="J283">
            <v>586</v>
          </cell>
          <cell r="K283">
            <v>485</v>
          </cell>
          <cell r="L283">
            <v>414</v>
          </cell>
          <cell r="M283">
            <v>343</v>
          </cell>
          <cell r="N283">
            <v>234</v>
          </cell>
          <cell r="O283">
            <v>125</v>
          </cell>
          <cell r="P283">
            <v>489</v>
          </cell>
          <cell r="Q283">
            <v>448</v>
          </cell>
          <cell r="R283">
            <v>379</v>
          </cell>
          <cell r="S283">
            <v>329</v>
          </cell>
          <cell r="T283">
            <v>279</v>
          </cell>
          <cell r="U283">
            <v>194</v>
          </cell>
          <cell r="V283">
            <v>109</v>
          </cell>
          <cell r="W283">
            <v>489</v>
          </cell>
          <cell r="X283">
            <v>448</v>
          </cell>
          <cell r="Y283">
            <v>379</v>
          </cell>
          <cell r="Z283">
            <v>329</v>
          </cell>
          <cell r="AA283">
            <v>279</v>
          </cell>
          <cell r="AB283">
            <v>194</v>
          </cell>
          <cell r="AC283">
            <v>109</v>
          </cell>
        </row>
        <row r="284">
          <cell r="A284" t="str">
            <v>9-11-24</v>
          </cell>
          <cell r="B284">
            <v>1048</v>
          </cell>
          <cell r="C284">
            <v>920</v>
          </cell>
          <cell r="D284">
            <v>754</v>
          </cell>
          <cell r="E284">
            <v>645</v>
          </cell>
          <cell r="F284">
            <v>535</v>
          </cell>
          <cell r="G284">
            <v>368</v>
          </cell>
          <cell r="H284">
            <v>201</v>
          </cell>
          <cell r="I284">
            <v>910</v>
          </cell>
          <cell r="J284">
            <v>788</v>
          </cell>
          <cell r="K284">
            <v>636</v>
          </cell>
          <cell r="L284">
            <v>540</v>
          </cell>
          <cell r="M284">
            <v>444</v>
          </cell>
          <cell r="N284">
            <v>304</v>
          </cell>
          <cell r="O284">
            <v>164</v>
          </cell>
          <cell r="P284">
            <v>786</v>
          </cell>
          <cell r="Q284">
            <v>704</v>
          </cell>
          <cell r="R284">
            <v>591</v>
          </cell>
          <cell r="S284">
            <v>513</v>
          </cell>
          <cell r="T284">
            <v>435</v>
          </cell>
          <cell r="U284">
            <v>305</v>
          </cell>
          <cell r="V284">
            <v>175</v>
          </cell>
          <cell r="W284">
            <v>683</v>
          </cell>
          <cell r="X284">
            <v>603</v>
          </cell>
          <cell r="Y284">
            <v>499</v>
          </cell>
          <cell r="Z284">
            <v>430</v>
          </cell>
          <cell r="AA284">
            <v>361</v>
          </cell>
          <cell r="AB284">
            <v>252</v>
          </cell>
          <cell r="AC284">
            <v>142</v>
          </cell>
        </row>
        <row r="285">
          <cell r="A285" t="str">
            <v>9-12-24</v>
          </cell>
          <cell r="B285">
            <v>907</v>
          </cell>
          <cell r="C285">
            <v>802</v>
          </cell>
          <cell r="D285">
            <v>663</v>
          </cell>
          <cell r="E285">
            <v>569</v>
          </cell>
          <cell r="F285">
            <v>474</v>
          </cell>
          <cell r="G285">
            <v>327</v>
          </cell>
          <cell r="H285">
            <v>179</v>
          </cell>
          <cell r="I285">
            <v>857</v>
          </cell>
          <cell r="J285">
            <v>744</v>
          </cell>
          <cell r="K285">
            <v>602</v>
          </cell>
          <cell r="L285">
            <v>512</v>
          </cell>
          <cell r="M285">
            <v>421</v>
          </cell>
          <cell r="N285">
            <v>289</v>
          </cell>
          <cell r="O285">
            <v>156</v>
          </cell>
          <cell r="P285">
            <v>680</v>
          </cell>
          <cell r="Q285">
            <v>614</v>
          </cell>
          <cell r="R285">
            <v>519</v>
          </cell>
          <cell r="S285">
            <v>452</v>
          </cell>
          <cell r="T285">
            <v>385</v>
          </cell>
          <cell r="U285">
            <v>271</v>
          </cell>
          <cell r="V285">
            <v>156</v>
          </cell>
          <cell r="W285">
            <v>643</v>
          </cell>
          <cell r="X285">
            <v>570</v>
          </cell>
          <cell r="Y285">
            <v>471</v>
          </cell>
          <cell r="Z285">
            <v>407</v>
          </cell>
          <cell r="AA285">
            <v>342</v>
          </cell>
          <cell r="AB285">
            <v>239</v>
          </cell>
          <cell r="AC285">
            <v>136</v>
          </cell>
        </row>
        <row r="286">
          <cell r="A286" t="str">
            <v>9-13-24</v>
          </cell>
          <cell r="B286">
            <v>814</v>
          </cell>
          <cell r="C286">
            <v>721</v>
          </cell>
          <cell r="D286">
            <v>581</v>
          </cell>
          <cell r="E286">
            <v>494</v>
          </cell>
          <cell r="F286">
            <v>406</v>
          </cell>
          <cell r="G286">
            <v>278</v>
          </cell>
          <cell r="H286">
            <v>150</v>
          </cell>
          <cell r="I286">
            <v>814</v>
          </cell>
          <cell r="J286">
            <v>721</v>
          </cell>
          <cell r="K286">
            <v>581</v>
          </cell>
          <cell r="L286">
            <v>494</v>
          </cell>
          <cell r="M286">
            <v>406</v>
          </cell>
          <cell r="N286">
            <v>275</v>
          </cell>
          <cell r="O286">
            <v>143</v>
          </cell>
          <cell r="P286">
            <v>610</v>
          </cell>
          <cell r="Q286">
            <v>552</v>
          </cell>
          <cell r="R286">
            <v>455</v>
          </cell>
          <cell r="S286">
            <v>393</v>
          </cell>
          <cell r="T286">
            <v>330</v>
          </cell>
          <cell r="U286">
            <v>230</v>
          </cell>
          <cell r="V286">
            <v>130</v>
          </cell>
          <cell r="W286">
            <v>610</v>
          </cell>
          <cell r="X286">
            <v>552</v>
          </cell>
          <cell r="Y286">
            <v>455</v>
          </cell>
          <cell r="Z286">
            <v>393</v>
          </cell>
          <cell r="AA286">
            <v>330</v>
          </cell>
          <cell r="AB286">
            <v>227</v>
          </cell>
          <cell r="AC286">
            <v>124</v>
          </cell>
        </row>
        <row r="287">
          <cell r="A287" t="str">
            <v>9-14-24</v>
          </cell>
          <cell r="B287">
            <v>761</v>
          </cell>
          <cell r="C287">
            <v>677</v>
          </cell>
          <cell r="D287">
            <v>548</v>
          </cell>
          <cell r="E287">
            <v>467</v>
          </cell>
          <cell r="F287">
            <v>385</v>
          </cell>
          <cell r="G287">
            <v>263</v>
          </cell>
          <cell r="H287">
            <v>141</v>
          </cell>
          <cell r="I287">
            <v>761</v>
          </cell>
          <cell r="J287">
            <v>677</v>
          </cell>
          <cell r="K287">
            <v>548</v>
          </cell>
          <cell r="L287">
            <v>467</v>
          </cell>
          <cell r="M287">
            <v>385</v>
          </cell>
          <cell r="N287">
            <v>263</v>
          </cell>
          <cell r="O287">
            <v>141</v>
          </cell>
          <cell r="P287">
            <v>570</v>
          </cell>
          <cell r="Q287">
            <v>518</v>
          </cell>
          <cell r="R287">
            <v>429</v>
          </cell>
          <cell r="S287">
            <v>371</v>
          </cell>
          <cell r="T287">
            <v>313</v>
          </cell>
          <cell r="U287">
            <v>218</v>
          </cell>
          <cell r="V287">
            <v>123</v>
          </cell>
          <cell r="W287">
            <v>570</v>
          </cell>
          <cell r="X287">
            <v>518</v>
          </cell>
          <cell r="Y287">
            <v>429</v>
          </cell>
          <cell r="Z287">
            <v>371</v>
          </cell>
          <cell r="AA287">
            <v>313</v>
          </cell>
          <cell r="AB287">
            <v>218</v>
          </cell>
          <cell r="AC287">
            <v>123</v>
          </cell>
        </row>
        <row r="288">
          <cell r="A288" t="str">
            <v>9-15-24</v>
          </cell>
          <cell r="B288">
            <v>706</v>
          </cell>
          <cell r="C288">
            <v>630</v>
          </cell>
          <cell r="D288">
            <v>520</v>
          </cell>
          <cell r="E288">
            <v>442</v>
          </cell>
          <cell r="F288">
            <v>364</v>
          </cell>
          <cell r="G288">
            <v>250</v>
          </cell>
          <cell r="H288">
            <v>136</v>
          </cell>
          <cell r="I288">
            <v>706</v>
          </cell>
          <cell r="J288">
            <v>630</v>
          </cell>
          <cell r="K288">
            <v>520</v>
          </cell>
          <cell r="L288">
            <v>442</v>
          </cell>
          <cell r="M288">
            <v>364</v>
          </cell>
          <cell r="N288">
            <v>250</v>
          </cell>
          <cell r="O288">
            <v>136</v>
          </cell>
          <cell r="P288">
            <v>529</v>
          </cell>
          <cell r="Q288">
            <v>482</v>
          </cell>
          <cell r="R288">
            <v>407</v>
          </cell>
          <cell r="S288">
            <v>351</v>
          </cell>
          <cell r="T288">
            <v>295</v>
          </cell>
          <cell r="U288">
            <v>207</v>
          </cell>
          <cell r="V288">
            <v>118</v>
          </cell>
          <cell r="W288">
            <v>529</v>
          </cell>
          <cell r="X288">
            <v>482</v>
          </cell>
          <cell r="Y288">
            <v>407</v>
          </cell>
          <cell r="Z288">
            <v>351</v>
          </cell>
          <cell r="AA288">
            <v>295</v>
          </cell>
          <cell r="AB288">
            <v>207</v>
          </cell>
          <cell r="AC288">
            <v>118</v>
          </cell>
        </row>
        <row r="289">
          <cell r="A289" t="str">
            <v>9-16-24</v>
          </cell>
          <cell r="B289">
            <v>649</v>
          </cell>
          <cell r="C289">
            <v>582</v>
          </cell>
          <cell r="D289">
            <v>482</v>
          </cell>
          <cell r="E289">
            <v>413</v>
          </cell>
          <cell r="F289">
            <v>343</v>
          </cell>
          <cell r="G289">
            <v>234</v>
          </cell>
          <cell r="H289">
            <v>125</v>
          </cell>
          <cell r="I289">
            <v>649</v>
          </cell>
          <cell r="J289">
            <v>582</v>
          </cell>
          <cell r="K289">
            <v>482</v>
          </cell>
          <cell r="L289">
            <v>413</v>
          </cell>
          <cell r="M289">
            <v>343</v>
          </cell>
          <cell r="N289">
            <v>234</v>
          </cell>
          <cell r="O289">
            <v>125</v>
          </cell>
          <cell r="P289">
            <v>486</v>
          </cell>
          <cell r="Q289">
            <v>446</v>
          </cell>
          <cell r="R289">
            <v>377</v>
          </cell>
          <cell r="S289">
            <v>328</v>
          </cell>
          <cell r="T289">
            <v>279</v>
          </cell>
          <cell r="U289">
            <v>194</v>
          </cell>
          <cell r="V289">
            <v>109</v>
          </cell>
          <cell r="W289">
            <v>486</v>
          </cell>
          <cell r="X289">
            <v>446</v>
          </cell>
          <cell r="Y289">
            <v>377</v>
          </cell>
          <cell r="Z289">
            <v>328</v>
          </cell>
          <cell r="AA289">
            <v>279</v>
          </cell>
          <cell r="AB289">
            <v>194</v>
          </cell>
          <cell r="AC289">
            <v>109</v>
          </cell>
        </row>
        <row r="290">
          <cell r="A290" t="str">
            <v>9-17-24</v>
          </cell>
          <cell r="B290">
            <v>586</v>
          </cell>
          <cell r="C290">
            <v>529</v>
          </cell>
          <cell r="D290">
            <v>439</v>
          </cell>
          <cell r="E290">
            <v>376</v>
          </cell>
          <cell r="F290">
            <v>313</v>
          </cell>
          <cell r="G290">
            <v>213</v>
          </cell>
          <cell r="H290">
            <v>113</v>
          </cell>
          <cell r="I290">
            <v>586</v>
          </cell>
          <cell r="J290">
            <v>529</v>
          </cell>
          <cell r="K290">
            <v>439</v>
          </cell>
          <cell r="L290">
            <v>376</v>
          </cell>
          <cell r="M290">
            <v>313</v>
          </cell>
          <cell r="N290">
            <v>213</v>
          </cell>
          <cell r="O290">
            <v>113</v>
          </cell>
          <cell r="P290">
            <v>440</v>
          </cell>
          <cell r="Q290">
            <v>404</v>
          </cell>
          <cell r="R290">
            <v>344</v>
          </cell>
          <cell r="S290">
            <v>300</v>
          </cell>
          <cell r="T290">
            <v>255</v>
          </cell>
          <cell r="U290">
            <v>177</v>
          </cell>
          <cell r="V290">
            <v>99</v>
          </cell>
          <cell r="W290">
            <v>440</v>
          </cell>
          <cell r="X290">
            <v>404</v>
          </cell>
          <cell r="Y290">
            <v>344</v>
          </cell>
          <cell r="Z290">
            <v>300</v>
          </cell>
          <cell r="AA290">
            <v>255</v>
          </cell>
          <cell r="AB290">
            <v>177</v>
          </cell>
          <cell r="AC290">
            <v>99</v>
          </cell>
        </row>
        <row r="291">
          <cell r="A291" t="str">
            <v>10-12-24</v>
          </cell>
          <cell r="B291">
            <v>899</v>
          </cell>
          <cell r="C291">
            <v>792</v>
          </cell>
          <cell r="D291">
            <v>655</v>
          </cell>
          <cell r="E291">
            <v>561</v>
          </cell>
          <cell r="F291">
            <v>466</v>
          </cell>
          <cell r="G291">
            <v>321</v>
          </cell>
          <cell r="H291">
            <v>175</v>
          </cell>
          <cell r="I291">
            <v>854</v>
          </cell>
          <cell r="J291">
            <v>741</v>
          </cell>
          <cell r="K291">
            <v>600</v>
          </cell>
          <cell r="L291">
            <v>509</v>
          </cell>
          <cell r="M291">
            <v>418</v>
          </cell>
          <cell r="N291">
            <v>286</v>
          </cell>
          <cell r="O291">
            <v>154</v>
          </cell>
          <cell r="P291">
            <v>674</v>
          </cell>
          <cell r="Q291">
            <v>606</v>
          </cell>
          <cell r="R291">
            <v>513</v>
          </cell>
          <cell r="S291">
            <v>446</v>
          </cell>
          <cell r="T291">
            <v>379</v>
          </cell>
          <cell r="U291">
            <v>266</v>
          </cell>
          <cell r="V291">
            <v>152</v>
          </cell>
          <cell r="W291">
            <v>641</v>
          </cell>
          <cell r="X291">
            <v>567</v>
          </cell>
          <cell r="Y291">
            <v>470</v>
          </cell>
          <cell r="Z291">
            <v>405</v>
          </cell>
          <cell r="AA291">
            <v>340</v>
          </cell>
          <cell r="AB291">
            <v>237</v>
          </cell>
          <cell r="AC291">
            <v>134</v>
          </cell>
        </row>
        <row r="292">
          <cell r="A292" t="str">
            <v>10-13-24</v>
          </cell>
          <cell r="B292">
            <v>808</v>
          </cell>
          <cell r="C292">
            <v>715</v>
          </cell>
          <cell r="D292">
            <v>574</v>
          </cell>
          <cell r="E292">
            <v>488</v>
          </cell>
          <cell r="F292">
            <v>401</v>
          </cell>
          <cell r="G292">
            <v>276</v>
          </cell>
          <cell r="H292">
            <v>151</v>
          </cell>
          <cell r="I292">
            <v>808</v>
          </cell>
          <cell r="J292">
            <v>715</v>
          </cell>
          <cell r="K292">
            <v>574</v>
          </cell>
          <cell r="L292">
            <v>488</v>
          </cell>
          <cell r="M292">
            <v>401</v>
          </cell>
          <cell r="N292">
            <v>273</v>
          </cell>
          <cell r="O292">
            <v>145</v>
          </cell>
          <cell r="P292">
            <v>606</v>
          </cell>
          <cell r="Q292">
            <v>547</v>
          </cell>
          <cell r="R292">
            <v>450</v>
          </cell>
          <cell r="S292">
            <v>388</v>
          </cell>
          <cell r="T292">
            <v>326</v>
          </cell>
          <cell r="U292">
            <v>229</v>
          </cell>
          <cell r="V292">
            <v>131</v>
          </cell>
          <cell r="W292">
            <v>606</v>
          </cell>
          <cell r="X292">
            <v>547</v>
          </cell>
          <cell r="Y292">
            <v>450</v>
          </cell>
          <cell r="Z292">
            <v>388</v>
          </cell>
          <cell r="AA292">
            <v>326</v>
          </cell>
          <cell r="AB292">
            <v>226</v>
          </cell>
          <cell r="AC292">
            <v>126</v>
          </cell>
        </row>
        <row r="293">
          <cell r="A293" t="str">
            <v>10-14-24</v>
          </cell>
          <cell r="B293">
            <v>754</v>
          </cell>
          <cell r="C293">
            <v>670</v>
          </cell>
          <cell r="D293">
            <v>542</v>
          </cell>
          <cell r="E293">
            <v>462</v>
          </cell>
          <cell r="F293">
            <v>381</v>
          </cell>
          <cell r="G293">
            <v>261</v>
          </cell>
          <cell r="H293">
            <v>140</v>
          </cell>
          <cell r="I293">
            <v>754</v>
          </cell>
          <cell r="J293">
            <v>670</v>
          </cell>
          <cell r="K293">
            <v>542</v>
          </cell>
          <cell r="L293">
            <v>462</v>
          </cell>
          <cell r="M293">
            <v>381</v>
          </cell>
          <cell r="N293">
            <v>261</v>
          </cell>
          <cell r="O293">
            <v>140</v>
          </cell>
          <cell r="P293">
            <v>565</v>
          </cell>
          <cell r="Q293">
            <v>513</v>
          </cell>
          <cell r="R293">
            <v>424</v>
          </cell>
          <cell r="S293">
            <v>367</v>
          </cell>
          <cell r="T293">
            <v>310</v>
          </cell>
          <cell r="U293">
            <v>216</v>
          </cell>
          <cell r="V293">
            <v>122</v>
          </cell>
          <cell r="W293">
            <v>565</v>
          </cell>
          <cell r="X293">
            <v>513</v>
          </cell>
          <cell r="Y293">
            <v>424</v>
          </cell>
          <cell r="Z293">
            <v>367</v>
          </cell>
          <cell r="AA293">
            <v>310</v>
          </cell>
          <cell r="AB293">
            <v>216</v>
          </cell>
          <cell r="AC293">
            <v>122</v>
          </cell>
        </row>
        <row r="294">
          <cell r="A294" t="str">
            <v>10-15-24</v>
          </cell>
          <cell r="B294">
            <v>699</v>
          </cell>
          <cell r="C294">
            <v>623</v>
          </cell>
          <cell r="D294">
            <v>513</v>
          </cell>
          <cell r="E294">
            <v>436</v>
          </cell>
          <cell r="F294">
            <v>358</v>
          </cell>
          <cell r="G294">
            <v>246</v>
          </cell>
          <cell r="H294">
            <v>134</v>
          </cell>
          <cell r="I294">
            <v>699</v>
          </cell>
          <cell r="J294">
            <v>623</v>
          </cell>
          <cell r="K294">
            <v>513</v>
          </cell>
          <cell r="L294">
            <v>436</v>
          </cell>
          <cell r="M294">
            <v>358</v>
          </cell>
          <cell r="N294">
            <v>246</v>
          </cell>
          <cell r="O294">
            <v>134</v>
          </cell>
          <cell r="P294">
            <v>524</v>
          </cell>
          <cell r="Q294">
            <v>477</v>
          </cell>
          <cell r="R294">
            <v>402</v>
          </cell>
          <cell r="S294">
            <v>347</v>
          </cell>
          <cell r="T294">
            <v>291</v>
          </cell>
          <cell r="U294">
            <v>204</v>
          </cell>
          <cell r="V294">
            <v>117</v>
          </cell>
          <cell r="W294">
            <v>524</v>
          </cell>
          <cell r="X294">
            <v>477</v>
          </cell>
          <cell r="Y294">
            <v>402</v>
          </cell>
          <cell r="Z294">
            <v>347</v>
          </cell>
          <cell r="AA294">
            <v>291</v>
          </cell>
          <cell r="AB294">
            <v>204</v>
          </cell>
          <cell r="AC294">
            <v>117</v>
          </cell>
        </row>
        <row r="295">
          <cell r="A295" t="str">
            <v>10-16-24</v>
          </cell>
          <cell r="B295">
            <v>642</v>
          </cell>
          <cell r="C295">
            <v>576</v>
          </cell>
          <cell r="D295">
            <v>477</v>
          </cell>
          <cell r="E295">
            <v>409</v>
          </cell>
          <cell r="F295">
            <v>341</v>
          </cell>
          <cell r="G295">
            <v>233</v>
          </cell>
          <cell r="H295">
            <v>125</v>
          </cell>
          <cell r="I295">
            <v>642</v>
          </cell>
          <cell r="J295">
            <v>576</v>
          </cell>
          <cell r="K295">
            <v>477</v>
          </cell>
          <cell r="L295">
            <v>409</v>
          </cell>
          <cell r="M295">
            <v>341</v>
          </cell>
          <cell r="N295">
            <v>233</v>
          </cell>
          <cell r="O295">
            <v>125</v>
          </cell>
          <cell r="P295">
            <v>481</v>
          </cell>
          <cell r="Q295">
            <v>441</v>
          </cell>
          <cell r="R295">
            <v>374</v>
          </cell>
          <cell r="S295">
            <v>326</v>
          </cell>
          <cell r="T295">
            <v>277</v>
          </cell>
          <cell r="U295">
            <v>193</v>
          </cell>
          <cell r="V295">
            <v>109</v>
          </cell>
          <cell r="W295">
            <v>481</v>
          </cell>
          <cell r="X295">
            <v>441</v>
          </cell>
          <cell r="Y295">
            <v>374</v>
          </cell>
          <cell r="Z295">
            <v>326</v>
          </cell>
          <cell r="AA295">
            <v>277</v>
          </cell>
          <cell r="AB295">
            <v>193</v>
          </cell>
          <cell r="AC295">
            <v>109</v>
          </cell>
        </row>
        <row r="296">
          <cell r="A296" t="str">
            <v>10-17-24</v>
          </cell>
          <cell r="B296">
            <v>582</v>
          </cell>
          <cell r="C296">
            <v>524</v>
          </cell>
          <cell r="D296">
            <v>436</v>
          </cell>
          <cell r="E296">
            <v>374</v>
          </cell>
          <cell r="F296">
            <v>312</v>
          </cell>
          <cell r="G296">
            <v>213</v>
          </cell>
          <cell r="H296">
            <v>113</v>
          </cell>
          <cell r="I296">
            <v>582</v>
          </cell>
          <cell r="J296">
            <v>524</v>
          </cell>
          <cell r="K296">
            <v>436</v>
          </cell>
          <cell r="L296">
            <v>374</v>
          </cell>
          <cell r="M296">
            <v>312</v>
          </cell>
          <cell r="N296">
            <v>213</v>
          </cell>
          <cell r="O296">
            <v>113</v>
          </cell>
          <cell r="P296">
            <v>436</v>
          </cell>
          <cell r="Q296">
            <v>401</v>
          </cell>
          <cell r="R296">
            <v>341</v>
          </cell>
          <cell r="S296">
            <v>297</v>
          </cell>
          <cell r="T296">
            <v>253</v>
          </cell>
          <cell r="U296">
            <v>176</v>
          </cell>
          <cell r="V296">
            <v>99</v>
          </cell>
          <cell r="W296">
            <v>436</v>
          </cell>
          <cell r="X296">
            <v>401</v>
          </cell>
          <cell r="Y296">
            <v>341</v>
          </cell>
          <cell r="Z296">
            <v>297</v>
          </cell>
          <cell r="AA296">
            <v>253</v>
          </cell>
          <cell r="AB296">
            <v>176</v>
          </cell>
          <cell r="AC296">
            <v>99</v>
          </cell>
        </row>
        <row r="297">
          <cell r="A297" t="str">
            <v>10-18-24</v>
          </cell>
          <cell r="B297">
            <v>519</v>
          </cell>
          <cell r="C297">
            <v>470</v>
          </cell>
          <cell r="D297">
            <v>392</v>
          </cell>
          <cell r="E297">
            <v>337</v>
          </cell>
          <cell r="F297">
            <v>282</v>
          </cell>
          <cell r="G297">
            <v>192</v>
          </cell>
          <cell r="H297">
            <v>102</v>
          </cell>
          <cell r="I297">
            <v>519</v>
          </cell>
          <cell r="J297">
            <v>470</v>
          </cell>
          <cell r="K297">
            <v>392</v>
          </cell>
          <cell r="L297">
            <v>337</v>
          </cell>
          <cell r="M297">
            <v>282</v>
          </cell>
          <cell r="N297">
            <v>192</v>
          </cell>
          <cell r="O297">
            <v>102</v>
          </cell>
          <cell r="P297">
            <v>389</v>
          </cell>
          <cell r="Q297">
            <v>359</v>
          </cell>
          <cell r="R297">
            <v>307</v>
          </cell>
          <cell r="S297">
            <v>268</v>
          </cell>
          <cell r="T297">
            <v>229</v>
          </cell>
          <cell r="U297">
            <v>159</v>
          </cell>
          <cell r="V297">
            <v>89</v>
          </cell>
          <cell r="W297">
            <v>389</v>
          </cell>
          <cell r="X297">
            <v>359</v>
          </cell>
          <cell r="Y297">
            <v>307</v>
          </cell>
          <cell r="Z297">
            <v>268</v>
          </cell>
          <cell r="AA297">
            <v>229</v>
          </cell>
          <cell r="AB297">
            <v>159</v>
          </cell>
          <cell r="AC297">
            <v>89</v>
          </cell>
        </row>
        <row r="298">
          <cell r="A298" t="str">
            <v>11-13-24</v>
          </cell>
          <cell r="B298">
            <v>801</v>
          </cell>
          <cell r="C298">
            <v>707</v>
          </cell>
          <cell r="D298">
            <v>569</v>
          </cell>
          <cell r="E298">
            <v>483</v>
          </cell>
          <cell r="F298">
            <v>397</v>
          </cell>
          <cell r="G298">
            <v>272</v>
          </cell>
          <cell r="H298">
            <v>147</v>
          </cell>
          <cell r="I298">
            <v>801</v>
          </cell>
          <cell r="J298">
            <v>707</v>
          </cell>
          <cell r="K298">
            <v>569</v>
          </cell>
          <cell r="L298">
            <v>483</v>
          </cell>
          <cell r="M298">
            <v>397</v>
          </cell>
          <cell r="N298">
            <v>271</v>
          </cell>
          <cell r="O298">
            <v>144</v>
          </cell>
          <cell r="P298">
            <v>600</v>
          </cell>
          <cell r="Q298">
            <v>541</v>
          </cell>
          <cell r="R298">
            <v>445</v>
          </cell>
          <cell r="S298">
            <v>384</v>
          </cell>
          <cell r="T298">
            <v>323</v>
          </cell>
          <cell r="U298">
            <v>226</v>
          </cell>
          <cell r="V298">
            <v>128</v>
          </cell>
          <cell r="W298">
            <v>600</v>
          </cell>
          <cell r="X298">
            <v>541</v>
          </cell>
          <cell r="Y298">
            <v>445</v>
          </cell>
          <cell r="Z298">
            <v>384</v>
          </cell>
          <cell r="AA298">
            <v>323</v>
          </cell>
          <cell r="AB298">
            <v>224</v>
          </cell>
          <cell r="AC298">
            <v>125</v>
          </cell>
        </row>
        <row r="299">
          <cell r="A299" t="str">
            <v>11-14-24</v>
          </cell>
          <cell r="B299">
            <v>745</v>
          </cell>
          <cell r="C299">
            <v>662</v>
          </cell>
          <cell r="D299">
            <v>542</v>
          </cell>
          <cell r="E299">
            <v>459</v>
          </cell>
          <cell r="F299">
            <v>376</v>
          </cell>
          <cell r="G299">
            <v>257</v>
          </cell>
          <cell r="H299">
            <v>137</v>
          </cell>
          <cell r="I299">
            <v>745</v>
          </cell>
          <cell r="J299">
            <v>662</v>
          </cell>
          <cell r="K299">
            <v>542</v>
          </cell>
          <cell r="L299">
            <v>459</v>
          </cell>
          <cell r="M299">
            <v>376</v>
          </cell>
          <cell r="N299">
            <v>257</v>
          </cell>
          <cell r="O299">
            <v>137</v>
          </cell>
          <cell r="P299">
            <v>559</v>
          </cell>
          <cell r="Q299">
            <v>507</v>
          </cell>
          <cell r="R299">
            <v>424</v>
          </cell>
          <cell r="S299">
            <v>365</v>
          </cell>
          <cell r="T299">
            <v>306</v>
          </cell>
          <cell r="U299">
            <v>213</v>
          </cell>
          <cell r="V299">
            <v>120</v>
          </cell>
          <cell r="W299">
            <v>559</v>
          </cell>
          <cell r="X299">
            <v>507</v>
          </cell>
          <cell r="Y299">
            <v>424</v>
          </cell>
          <cell r="Z299">
            <v>365</v>
          </cell>
          <cell r="AA299">
            <v>306</v>
          </cell>
          <cell r="AB299">
            <v>213</v>
          </cell>
          <cell r="AC299">
            <v>120</v>
          </cell>
        </row>
        <row r="300">
          <cell r="A300" t="str">
            <v>11-15-24</v>
          </cell>
          <cell r="B300">
            <v>691</v>
          </cell>
          <cell r="C300">
            <v>616</v>
          </cell>
          <cell r="D300">
            <v>506</v>
          </cell>
          <cell r="E300">
            <v>431</v>
          </cell>
          <cell r="F300">
            <v>355</v>
          </cell>
          <cell r="G300">
            <v>243</v>
          </cell>
          <cell r="H300">
            <v>130</v>
          </cell>
          <cell r="I300">
            <v>691</v>
          </cell>
          <cell r="J300">
            <v>616</v>
          </cell>
          <cell r="K300">
            <v>506</v>
          </cell>
          <cell r="L300">
            <v>431</v>
          </cell>
          <cell r="M300">
            <v>355</v>
          </cell>
          <cell r="N300">
            <v>243</v>
          </cell>
          <cell r="O300">
            <v>130</v>
          </cell>
          <cell r="P300">
            <v>518</v>
          </cell>
          <cell r="Q300">
            <v>472</v>
          </cell>
          <cell r="R300">
            <v>396</v>
          </cell>
          <cell r="S300">
            <v>342</v>
          </cell>
          <cell r="T300">
            <v>288</v>
          </cell>
          <cell r="U300">
            <v>201</v>
          </cell>
          <cell r="V300">
            <v>113</v>
          </cell>
          <cell r="W300">
            <v>518</v>
          </cell>
          <cell r="X300">
            <v>472</v>
          </cell>
          <cell r="Y300">
            <v>396</v>
          </cell>
          <cell r="Z300">
            <v>342</v>
          </cell>
          <cell r="AA300">
            <v>288</v>
          </cell>
          <cell r="AB300">
            <v>201</v>
          </cell>
          <cell r="AC300">
            <v>113</v>
          </cell>
        </row>
        <row r="301">
          <cell r="A301" t="str">
            <v>11-16-24</v>
          </cell>
          <cell r="B301">
            <v>635</v>
          </cell>
          <cell r="C301">
            <v>569</v>
          </cell>
          <cell r="D301">
            <v>470</v>
          </cell>
          <cell r="E301">
            <v>403</v>
          </cell>
          <cell r="F301">
            <v>336</v>
          </cell>
          <cell r="G301">
            <v>230</v>
          </cell>
          <cell r="H301">
            <v>123</v>
          </cell>
          <cell r="I301">
            <v>635</v>
          </cell>
          <cell r="J301">
            <v>569</v>
          </cell>
          <cell r="K301">
            <v>470</v>
          </cell>
          <cell r="L301">
            <v>403</v>
          </cell>
          <cell r="M301">
            <v>336</v>
          </cell>
          <cell r="N301">
            <v>230</v>
          </cell>
          <cell r="O301">
            <v>123</v>
          </cell>
          <cell r="P301">
            <v>476</v>
          </cell>
          <cell r="Q301">
            <v>435</v>
          </cell>
          <cell r="R301">
            <v>368</v>
          </cell>
          <cell r="S301">
            <v>321</v>
          </cell>
          <cell r="T301">
            <v>273</v>
          </cell>
          <cell r="U301">
            <v>190</v>
          </cell>
          <cell r="V301">
            <v>107</v>
          </cell>
          <cell r="W301">
            <v>476</v>
          </cell>
          <cell r="X301">
            <v>435</v>
          </cell>
          <cell r="Y301">
            <v>368</v>
          </cell>
          <cell r="Z301">
            <v>321</v>
          </cell>
          <cell r="AA301">
            <v>273</v>
          </cell>
          <cell r="AB301">
            <v>190</v>
          </cell>
          <cell r="AC301">
            <v>107</v>
          </cell>
        </row>
        <row r="302">
          <cell r="A302" t="str">
            <v>11-17-24</v>
          </cell>
          <cell r="B302">
            <v>578</v>
          </cell>
          <cell r="C302">
            <v>520</v>
          </cell>
          <cell r="D302">
            <v>432</v>
          </cell>
          <cell r="E302">
            <v>372</v>
          </cell>
          <cell r="F302">
            <v>311</v>
          </cell>
          <cell r="G302">
            <v>213</v>
          </cell>
          <cell r="H302">
            <v>114</v>
          </cell>
          <cell r="I302">
            <v>578</v>
          </cell>
          <cell r="J302">
            <v>520</v>
          </cell>
          <cell r="K302">
            <v>432</v>
          </cell>
          <cell r="L302">
            <v>372</v>
          </cell>
          <cell r="M302">
            <v>311</v>
          </cell>
          <cell r="N302">
            <v>213</v>
          </cell>
          <cell r="O302">
            <v>114</v>
          </cell>
          <cell r="P302">
            <v>433</v>
          </cell>
          <cell r="Q302">
            <v>398</v>
          </cell>
          <cell r="R302">
            <v>338</v>
          </cell>
          <cell r="S302">
            <v>296</v>
          </cell>
          <cell r="T302">
            <v>253</v>
          </cell>
          <cell r="U302">
            <v>176</v>
          </cell>
          <cell r="V302">
            <v>99</v>
          </cell>
          <cell r="W302">
            <v>433</v>
          </cell>
          <cell r="X302">
            <v>398</v>
          </cell>
          <cell r="Y302">
            <v>338</v>
          </cell>
          <cell r="Z302">
            <v>296</v>
          </cell>
          <cell r="AA302">
            <v>253</v>
          </cell>
          <cell r="AB302">
            <v>176</v>
          </cell>
          <cell r="AC302">
            <v>99</v>
          </cell>
        </row>
        <row r="303">
          <cell r="A303" t="str">
            <v>11-18-24</v>
          </cell>
          <cell r="B303">
            <v>514</v>
          </cell>
          <cell r="C303">
            <v>465</v>
          </cell>
          <cell r="D303">
            <v>388</v>
          </cell>
          <cell r="E303">
            <v>335</v>
          </cell>
          <cell r="F303">
            <v>281</v>
          </cell>
          <cell r="G303">
            <v>192</v>
          </cell>
          <cell r="H303">
            <v>102</v>
          </cell>
          <cell r="I303">
            <v>514</v>
          </cell>
          <cell r="J303">
            <v>465</v>
          </cell>
          <cell r="K303">
            <v>388</v>
          </cell>
          <cell r="L303">
            <v>335</v>
          </cell>
          <cell r="M303">
            <v>281</v>
          </cell>
          <cell r="N303">
            <v>192</v>
          </cell>
          <cell r="O303">
            <v>102</v>
          </cell>
          <cell r="P303">
            <v>385</v>
          </cell>
          <cell r="Q303">
            <v>356</v>
          </cell>
          <cell r="R303">
            <v>304</v>
          </cell>
          <cell r="S303">
            <v>266</v>
          </cell>
          <cell r="T303">
            <v>228</v>
          </cell>
          <cell r="U303">
            <v>159</v>
          </cell>
          <cell r="V303">
            <v>89</v>
          </cell>
          <cell r="W303">
            <v>385</v>
          </cell>
          <cell r="X303">
            <v>356</v>
          </cell>
          <cell r="Y303">
            <v>304</v>
          </cell>
          <cell r="Z303">
            <v>266</v>
          </cell>
          <cell r="AA303">
            <v>228</v>
          </cell>
          <cell r="AB303">
            <v>159</v>
          </cell>
          <cell r="AC303">
            <v>89</v>
          </cell>
        </row>
        <row r="304">
          <cell r="A304" t="str">
            <v>11-19-24</v>
          </cell>
          <cell r="B304">
            <v>448</v>
          </cell>
          <cell r="C304">
            <v>407</v>
          </cell>
          <cell r="D304">
            <v>343</v>
          </cell>
          <cell r="E304">
            <v>297</v>
          </cell>
          <cell r="F304">
            <v>250</v>
          </cell>
          <cell r="G304">
            <v>171</v>
          </cell>
          <cell r="H304">
            <v>91</v>
          </cell>
          <cell r="I304">
            <v>448</v>
          </cell>
          <cell r="J304">
            <v>407</v>
          </cell>
          <cell r="K304">
            <v>343</v>
          </cell>
          <cell r="L304">
            <v>297</v>
          </cell>
          <cell r="M304">
            <v>250</v>
          </cell>
          <cell r="N304">
            <v>171</v>
          </cell>
          <cell r="O304">
            <v>91</v>
          </cell>
          <cell r="P304">
            <v>336</v>
          </cell>
          <cell r="Q304">
            <v>311</v>
          </cell>
          <cell r="R304">
            <v>269</v>
          </cell>
          <cell r="S304">
            <v>236</v>
          </cell>
          <cell r="T304">
            <v>203</v>
          </cell>
          <cell r="U304">
            <v>141</v>
          </cell>
          <cell r="V304">
            <v>79</v>
          </cell>
          <cell r="W304">
            <v>336</v>
          </cell>
          <cell r="X304">
            <v>311</v>
          </cell>
          <cell r="Y304">
            <v>269</v>
          </cell>
          <cell r="Z304">
            <v>236</v>
          </cell>
          <cell r="AA304">
            <v>203</v>
          </cell>
          <cell r="AB304">
            <v>141</v>
          </cell>
          <cell r="AC304">
            <v>79</v>
          </cell>
        </row>
        <row r="305">
          <cell r="A305" t="str">
            <v>12-14-24</v>
          </cell>
          <cell r="B305">
            <v>738</v>
          </cell>
          <cell r="C305">
            <v>654</v>
          </cell>
          <cell r="D305">
            <v>534</v>
          </cell>
          <cell r="E305">
            <v>453</v>
          </cell>
          <cell r="F305">
            <v>371</v>
          </cell>
          <cell r="G305">
            <v>254</v>
          </cell>
          <cell r="H305">
            <v>136</v>
          </cell>
          <cell r="I305">
            <v>738</v>
          </cell>
          <cell r="J305">
            <v>654</v>
          </cell>
          <cell r="K305">
            <v>534</v>
          </cell>
          <cell r="L305">
            <v>453</v>
          </cell>
          <cell r="M305">
            <v>371</v>
          </cell>
          <cell r="N305">
            <v>254</v>
          </cell>
          <cell r="O305">
            <v>136</v>
          </cell>
          <cell r="P305">
            <v>553</v>
          </cell>
          <cell r="Q305">
            <v>501</v>
          </cell>
          <cell r="R305">
            <v>418</v>
          </cell>
          <cell r="S305">
            <v>360</v>
          </cell>
          <cell r="T305">
            <v>301</v>
          </cell>
          <cell r="U305">
            <v>210</v>
          </cell>
          <cell r="V305">
            <v>118</v>
          </cell>
          <cell r="W305">
            <v>553</v>
          </cell>
          <cell r="X305">
            <v>501</v>
          </cell>
          <cell r="Y305">
            <v>418</v>
          </cell>
          <cell r="Z305">
            <v>360</v>
          </cell>
          <cell r="AA305">
            <v>301</v>
          </cell>
          <cell r="AB305">
            <v>210</v>
          </cell>
          <cell r="AC305">
            <v>118</v>
          </cell>
        </row>
        <row r="306">
          <cell r="A306" t="str">
            <v>12-15-24</v>
          </cell>
          <cell r="B306">
            <v>682</v>
          </cell>
          <cell r="C306">
            <v>609</v>
          </cell>
          <cell r="D306">
            <v>499</v>
          </cell>
          <cell r="E306">
            <v>424</v>
          </cell>
          <cell r="F306">
            <v>349</v>
          </cell>
          <cell r="G306">
            <v>238</v>
          </cell>
          <cell r="H306">
            <v>127</v>
          </cell>
          <cell r="I306">
            <v>682</v>
          </cell>
          <cell r="J306">
            <v>609</v>
          </cell>
          <cell r="K306">
            <v>499</v>
          </cell>
          <cell r="L306">
            <v>424</v>
          </cell>
          <cell r="M306">
            <v>349</v>
          </cell>
          <cell r="N306">
            <v>238</v>
          </cell>
          <cell r="O306">
            <v>127</v>
          </cell>
          <cell r="P306">
            <v>512</v>
          </cell>
          <cell r="Q306">
            <v>466</v>
          </cell>
          <cell r="R306">
            <v>390</v>
          </cell>
          <cell r="S306">
            <v>337</v>
          </cell>
          <cell r="T306">
            <v>283</v>
          </cell>
          <cell r="U306">
            <v>197</v>
          </cell>
          <cell r="V306">
            <v>111</v>
          </cell>
          <cell r="W306">
            <v>512</v>
          </cell>
          <cell r="X306">
            <v>466</v>
          </cell>
          <cell r="Y306">
            <v>390</v>
          </cell>
          <cell r="Z306">
            <v>337</v>
          </cell>
          <cell r="AA306">
            <v>283</v>
          </cell>
          <cell r="AB306">
            <v>197</v>
          </cell>
          <cell r="AC306">
            <v>111</v>
          </cell>
        </row>
        <row r="307">
          <cell r="A307" t="str">
            <v>12-16-24</v>
          </cell>
          <cell r="B307">
            <v>627</v>
          </cell>
          <cell r="C307">
            <v>561</v>
          </cell>
          <cell r="D307">
            <v>464</v>
          </cell>
          <cell r="E307">
            <v>398</v>
          </cell>
          <cell r="F307">
            <v>331</v>
          </cell>
          <cell r="G307">
            <v>227</v>
          </cell>
          <cell r="H307">
            <v>122</v>
          </cell>
          <cell r="I307">
            <v>627</v>
          </cell>
          <cell r="J307">
            <v>561</v>
          </cell>
          <cell r="K307">
            <v>464</v>
          </cell>
          <cell r="L307">
            <v>398</v>
          </cell>
          <cell r="M307">
            <v>331</v>
          </cell>
          <cell r="N307">
            <v>227</v>
          </cell>
          <cell r="O307">
            <v>122</v>
          </cell>
          <cell r="P307">
            <v>470</v>
          </cell>
          <cell r="Q307">
            <v>429</v>
          </cell>
          <cell r="R307">
            <v>363</v>
          </cell>
          <cell r="S307">
            <v>316</v>
          </cell>
          <cell r="T307">
            <v>269</v>
          </cell>
          <cell r="U307">
            <v>188</v>
          </cell>
          <cell r="V307">
            <v>106</v>
          </cell>
          <cell r="W307">
            <v>470</v>
          </cell>
          <cell r="X307">
            <v>429</v>
          </cell>
          <cell r="Y307">
            <v>363</v>
          </cell>
          <cell r="Z307">
            <v>316</v>
          </cell>
          <cell r="AA307">
            <v>269</v>
          </cell>
          <cell r="AB307">
            <v>188</v>
          </cell>
          <cell r="AC307">
            <v>106</v>
          </cell>
        </row>
        <row r="308">
          <cell r="A308" t="str">
            <v>12-17-24</v>
          </cell>
          <cell r="B308">
            <v>570</v>
          </cell>
          <cell r="C308">
            <v>513</v>
          </cell>
          <cell r="D308">
            <v>426</v>
          </cell>
          <cell r="E308">
            <v>366</v>
          </cell>
          <cell r="F308">
            <v>306</v>
          </cell>
          <cell r="G308">
            <v>210</v>
          </cell>
          <cell r="H308">
            <v>113</v>
          </cell>
          <cell r="I308">
            <v>570</v>
          </cell>
          <cell r="J308">
            <v>513</v>
          </cell>
          <cell r="K308">
            <v>426</v>
          </cell>
          <cell r="L308">
            <v>366</v>
          </cell>
          <cell r="M308">
            <v>306</v>
          </cell>
          <cell r="N308">
            <v>210</v>
          </cell>
          <cell r="O308">
            <v>113</v>
          </cell>
          <cell r="P308">
            <v>428</v>
          </cell>
          <cell r="Q308">
            <v>392</v>
          </cell>
          <cell r="R308">
            <v>333</v>
          </cell>
          <cell r="S308">
            <v>291</v>
          </cell>
          <cell r="T308">
            <v>248</v>
          </cell>
          <cell r="U308">
            <v>174</v>
          </cell>
          <cell r="V308">
            <v>99</v>
          </cell>
          <cell r="W308">
            <v>428</v>
          </cell>
          <cell r="X308">
            <v>392</v>
          </cell>
          <cell r="Y308">
            <v>333</v>
          </cell>
          <cell r="Z308">
            <v>291</v>
          </cell>
          <cell r="AA308">
            <v>248</v>
          </cell>
          <cell r="AB308">
            <v>174</v>
          </cell>
          <cell r="AC308">
            <v>99</v>
          </cell>
        </row>
        <row r="309">
          <cell r="A309" t="str">
            <v>12-18-24</v>
          </cell>
          <cell r="B309">
            <v>509</v>
          </cell>
          <cell r="C309">
            <v>460</v>
          </cell>
          <cell r="D309">
            <v>385</v>
          </cell>
          <cell r="E309">
            <v>332</v>
          </cell>
          <cell r="F309">
            <v>278</v>
          </cell>
          <cell r="G309">
            <v>190</v>
          </cell>
          <cell r="H309">
            <v>102</v>
          </cell>
          <cell r="I309">
            <v>509</v>
          </cell>
          <cell r="J309">
            <v>460</v>
          </cell>
          <cell r="K309">
            <v>385</v>
          </cell>
          <cell r="L309">
            <v>332</v>
          </cell>
          <cell r="M309">
            <v>278</v>
          </cell>
          <cell r="N309">
            <v>190</v>
          </cell>
          <cell r="O309">
            <v>102</v>
          </cell>
          <cell r="P309">
            <v>381</v>
          </cell>
          <cell r="Q309">
            <v>352</v>
          </cell>
          <cell r="R309">
            <v>301</v>
          </cell>
          <cell r="S309">
            <v>264</v>
          </cell>
          <cell r="T309">
            <v>226</v>
          </cell>
          <cell r="U309">
            <v>158</v>
          </cell>
          <cell r="V309">
            <v>89</v>
          </cell>
          <cell r="W309">
            <v>381</v>
          </cell>
          <cell r="X309">
            <v>352</v>
          </cell>
          <cell r="Y309">
            <v>301</v>
          </cell>
          <cell r="Z309">
            <v>264</v>
          </cell>
          <cell r="AA309">
            <v>226</v>
          </cell>
          <cell r="AB309">
            <v>158</v>
          </cell>
          <cell r="AC309">
            <v>89</v>
          </cell>
        </row>
        <row r="310">
          <cell r="A310" t="str">
            <v>12-19-24</v>
          </cell>
          <cell r="B310">
            <v>443</v>
          </cell>
          <cell r="C310">
            <v>403</v>
          </cell>
          <cell r="D310">
            <v>340</v>
          </cell>
          <cell r="E310">
            <v>294</v>
          </cell>
          <cell r="F310">
            <v>247</v>
          </cell>
          <cell r="G310">
            <v>169</v>
          </cell>
          <cell r="H310">
            <v>91</v>
          </cell>
          <cell r="I310">
            <v>443</v>
          </cell>
          <cell r="J310">
            <v>403</v>
          </cell>
          <cell r="K310">
            <v>340</v>
          </cell>
          <cell r="L310">
            <v>294</v>
          </cell>
          <cell r="M310">
            <v>247</v>
          </cell>
          <cell r="N310">
            <v>169</v>
          </cell>
          <cell r="O310">
            <v>91</v>
          </cell>
          <cell r="P310">
            <v>332</v>
          </cell>
          <cell r="Q310">
            <v>309</v>
          </cell>
          <cell r="R310">
            <v>266</v>
          </cell>
          <cell r="S310">
            <v>234</v>
          </cell>
          <cell r="T310">
            <v>201</v>
          </cell>
          <cell r="U310">
            <v>140</v>
          </cell>
          <cell r="V310">
            <v>79</v>
          </cell>
          <cell r="W310">
            <v>332</v>
          </cell>
          <cell r="X310">
            <v>309</v>
          </cell>
          <cell r="Y310">
            <v>266</v>
          </cell>
          <cell r="Z310">
            <v>234</v>
          </cell>
          <cell r="AA310">
            <v>201</v>
          </cell>
          <cell r="AB310">
            <v>140</v>
          </cell>
          <cell r="AC310">
            <v>79</v>
          </cell>
        </row>
        <row r="311">
          <cell r="A311" t="str">
            <v>13-15-24</v>
          </cell>
          <cell r="B311">
            <v>674</v>
          </cell>
          <cell r="C311">
            <v>600</v>
          </cell>
          <cell r="D311">
            <v>491</v>
          </cell>
          <cell r="E311">
            <v>417</v>
          </cell>
          <cell r="F311">
            <v>343</v>
          </cell>
          <cell r="G311">
            <v>235</v>
          </cell>
          <cell r="H311">
            <v>126</v>
          </cell>
          <cell r="I311">
            <v>674</v>
          </cell>
          <cell r="J311">
            <v>600</v>
          </cell>
          <cell r="K311">
            <v>491</v>
          </cell>
          <cell r="L311">
            <v>417</v>
          </cell>
          <cell r="M311">
            <v>343</v>
          </cell>
          <cell r="N311">
            <v>235</v>
          </cell>
          <cell r="O311">
            <v>126</v>
          </cell>
          <cell r="P311">
            <v>506</v>
          </cell>
          <cell r="Q311">
            <v>459</v>
          </cell>
          <cell r="R311">
            <v>385</v>
          </cell>
          <cell r="S311">
            <v>332</v>
          </cell>
          <cell r="T311">
            <v>279</v>
          </cell>
          <cell r="U311">
            <v>194</v>
          </cell>
          <cell r="V311">
            <v>109</v>
          </cell>
          <cell r="W311">
            <v>506</v>
          </cell>
          <cell r="X311">
            <v>459</v>
          </cell>
          <cell r="Y311">
            <v>385</v>
          </cell>
          <cell r="Z311">
            <v>332</v>
          </cell>
          <cell r="AA311">
            <v>279</v>
          </cell>
          <cell r="AB311">
            <v>194</v>
          </cell>
          <cell r="AC311">
            <v>109</v>
          </cell>
        </row>
        <row r="312">
          <cell r="A312" t="str">
            <v>13-16-24</v>
          </cell>
          <cell r="B312">
            <v>618</v>
          </cell>
          <cell r="C312">
            <v>552</v>
          </cell>
          <cell r="D312">
            <v>456</v>
          </cell>
          <cell r="E312">
            <v>391</v>
          </cell>
          <cell r="F312">
            <v>325</v>
          </cell>
          <cell r="G312">
            <v>223</v>
          </cell>
          <cell r="H312">
            <v>120</v>
          </cell>
          <cell r="I312">
            <v>618</v>
          </cell>
          <cell r="J312">
            <v>552</v>
          </cell>
          <cell r="K312">
            <v>456</v>
          </cell>
          <cell r="L312">
            <v>391</v>
          </cell>
          <cell r="M312">
            <v>325</v>
          </cell>
          <cell r="N312">
            <v>223</v>
          </cell>
          <cell r="O312">
            <v>120</v>
          </cell>
          <cell r="P312">
            <v>463</v>
          </cell>
          <cell r="Q312">
            <v>423</v>
          </cell>
          <cell r="R312">
            <v>357</v>
          </cell>
          <cell r="S312">
            <v>311</v>
          </cell>
          <cell r="T312">
            <v>264</v>
          </cell>
          <cell r="U312">
            <v>184</v>
          </cell>
          <cell r="V312">
            <v>104</v>
          </cell>
          <cell r="W312">
            <v>463</v>
          </cell>
          <cell r="X312">
            <v>423</v>
          </cell>
          <cell r="Y312">
            <v>357</v>
          </cell>
          <cell r="Z312">
            <v>311</v>
          </cell>
          <cell r="AA312">
            <v>264</v>
          </cell>
          <cell r="AB312">
            <v>184</v>
          </cell>
          <cell r="AC312">
            <v>104</v>
          </cell>
        </row>
        <row r="313">
          <cell r="A313" t="str">
            <v>13-17-24</v>
          </cell>
          <cell r="B313">
            <v>562</v>
          </cell>
          <cell r="C313">
            <v>505</v>
          </cell>
          <cell r="D313">
            <v>419</v>
          </cell>
          <cell r="E313">
            <v>360</v>
          </cell>
          <cell r="F313">
            <v>301</v>
          </cell>
          <cell r="G313">
            <v>206</v>
          </cell>
          <cell r="H313">
            <v>111</v>
          </cell>
          <cell r="I313">
            <v>562</v>
          </cell>
          <cell r="J313">
            <v>505</v>
          </cell>
          <cell r="K313">
            <v>419</v>
          </cell>
          <cell r="L313">
            <v>360</v>
          </cell>
          <cell r="M313">
            <v>301</v>
          </cell>
          <cell r="N313">
            <v>206</v>
          </cell>
          <cell r="O313">
            <v>111</v>
          </cell>
          <cell r="P313">
            <v>421</v>
          </cell>
          <cell r="Q313">
            <v>386</v>
          </cell>
          <cell r="R313">
            <v>328</v>
          </cell>
          <cell r="S313">
            <v>286</v>
          </cell>
          <cell r="T313">
            <v>244</v>
          </cell>
          <cell r="U313">
            <v>171</v>
          </cell>
          <cell r="V313">
            <v>97</v>
          </cell>
          <cell r="W313">
            <v>421</v>
          </cell>
          <cell r="X313">
            <v>386</v>
          </cell>
          <cell r="Y313">
            <v>328</v>
          </cell>
          <cell r="Z313">
            <v>286</v>
          </cell>
          <cell r="AA313">
            <v>244</v>
          </cell>
          <cell r="AB313">
            <v>171</v>
          </cell>
          <cell r="AC313">
            <v>97</v>
          </cell>
        </row>
        <row r="314">
          <cell r="A314" t="str">
            <v>13-18-24</v>
          </cell>
          <cell r="B314">
            <v>503</v>
          </cell>
          <cell r="C314">
            <v>455</v>
          </cell>
          <cell r="D314">
            <v>380</v>
          </cell>
          <cell r="E314">
            <v>328</v>
          </cell>
          <cell r="F314">
            <v>276</v>
          </cell>
          <cell r="G314">
            <v>189</v>
          </cell>
          <cell r="H314">
            <v>102</v>
          </cell>
          <cell r="I314">
            <v>503</v>
          </cell>
          <cell r="J314">
            <v>455</v>
          </cell>
          <cell r="K314">
            <v>380</v>
          </cell>
          <cell r="L314">
            <v>328</v>
          </cell>
          <cell r="M314">
            <v>276</v>
          </cell>
          <cell r="N314">
            <v>189</v>
          </cell>
          <cell r="O314">
            <v>102</v>
          </cell>
          <cell r="P314">
            <v>377</v>
          </cell>
          <cell r="Q314">
            <v>348</v>
          </cell>
          <cell r="R314">
            <v>297</v>
          </cell>
          <cell r="S314">
            <v>261</v>
          </cell>
          <cell r="T314">
            <v>224</v>
          </cell>
          <cell r="U314">
            <v>157</v>
          </cell>
          <cell r="V314">
            <v>89</v>
          </cell>
          <cell r="W314">
            <v>377</v>
          </cell>
          <cell r="X314">
            <v>348</v>
          </cell>
          <cell r="Y314">
            <v>297</v>
          </cell>
          <cell r="Z314">
            <v>261</v>
          </cell>
          <cell r="AA314">
            <v>224</v>
          </cell>
          <cell r="AB314">
            <v>157</v>
          </cell>
          <cell r="AC314">
            <v>89</v>
          </cell>
        </row>
        <row r="315">
          <cell r="A315" t="str">
            <v>13-19-24</v>
          </cell>
          <cell r="B315">
            <v>437</v>
          </cell>
          <cell r="C315">
            <v>399</v>
          </cell>
          <cell r="D315">
            <v>336</v>
          </cell>
          <cell r="E315">
            <v>290</v>
          </cell>
          <cell r="F315">
            <v>244</v>
          </cell>
          <cell r="G315">
            <v>167</v>
          </cell>
          <cell r="H315">
            <v>90</v>
          </cell>
          <cell r="I315">
            <v>437</v>
          </cell>
          <cell r="J315">
            <v>399</v>
          </cell>
          <cell r="K315">
            <v>336</v>
          </cell>
          <cell r="L315">
            <v>290</v>
          </cell>
          <cell r="M315">
            <v>244</v>
          </cell>
          <cell r="N315">
            <v>167</v>
          </cell>
          <cell r="O315">
            <v>90</v>
          </cell>
          <cell r="P315">
            <v>328</v>
          </cell>
          <cell r="Q315">
            <v>305</v>
          </cell>
          <cell r="R315">
            <v>263</v>
          </cell>
          <cell r="S315">
            <v>231</v>
          </cell>
          <cell r="T315">
            <v>199</v>
          </cell>
          <cell r="U315">
            <v>139</v>
          </cell>
          <cell r="V315">
            <v>78</v>
          </cell>
          <cell r="W315">
            <v>328</v>
          </cell>
          <cell r="X315">
            <v>305</v>
          </cell>
          <cell r="Y315">
            <v>263</v>
          </cell>
          <cell r="Z315">
            <v>231</v>
          </cell>
          <cell r="AA315">
            <v>199</v>
          </cell>
          <cell r="AB315">
            <v>139</v>
          </cell>
          <cell r="AC315">
            <v>78</v>
          </cell>
        </row>
        <row r="316">
          <cell r="A316" t="str">
            <v>14-16-24</v>
          </cell>
          <cell r="B316">
            <v>609</v>
          </cell>
          <cell r="C316">
            <v>544</v>
          </cell>
          <cell r="D316">
            <v>448</v>
          </cell>
          <cell r="E316">
            <v>384</v>
          </cell>
          <cell r="F316">
            <v>320</v>
          </cell>
          <cell r="G316">
            <v>219</v>
          </cell>
          <cell r="H316">
            <v>117</v>
          </cell>
          <cell r="I316">
            <v>609</v>
          </cell>
          <cell r="J316">
            <v>544</v>
          </cell>
          <cell r="K316">
            <v>448</v>
          </cell>
          <cell r="L316">
            <v>384</v>
          </cell>
          <cell r="M316">
            <v>320</v>
          </cell>
          <cell r="N316">
            <v>219</v>
          </cell>
          <cell r="O316">
            <v>117</v>
          </cell>
          <cell r="P316">
            <v>457</v>
          </cell>
          <cell r="Q316">
            <v>416</v>
          </cell>
          <cell r="R316">
            <v>351</v>
          </cell>
          <cell r="S316">
            <v>306</v>
          </cell>
          <cell r="T316">
            <v>260</v>
          </cell>
          <cell r="U316">
            <v>181</v>
          </cell>
          <cell r="V316">
            <v>102</v>
          </cell>
          <cell r="W316">
            <v>457</v>
          </cell>
          <cell r="X316">
            <v>416</v>
          </cell>
          <cell r="Y316">
            <v>351</v>
          </cell>
          <cell r="Z316">
            <v>306</v>
          </cell>
          <cell r="AA316">
            <v>260</v>
          </cell>
          <cell r="AB316">
            <v>181</v>
          </cell>
          <cell r="AC316">
            <v>102</v>
          </cell>
        </row>
        <row r="317">
          <cell r="A317" t="str">
            <v>14-17-24</v>
          </cell>
          <cell r="B317">
            <v>552</v>
          </cell>
          <cell r="C317">
            <v>496</v>
          </cell>
          <cell r="D317">
            <v>411</v>
          </cell>
          <cell r="E317">
            <v>354</v>
          </cell>
          <cell r="F317">
            <v>296</v>
          </cell>
          <cell r="G317">
            <v>203</v>
          </cell>
          <cell r="H317">
            <v>109</v>
          </cell>
          <cell r="I317">
            <v>552</v>
          </cell>
          <cell r="J317">
            <v>496</v>
          </cell>
          <cell r="K317">
            <v>411</v>
          </cell>
          <cell r="L317">
            <v>354</v>
          </cell>
          <cell r="M317">
            <v>296</v>
          </cell>
          <cell r="N317">
            <v>203</v>
          </cell>
          <cell r="O317">
            <v>109</v>
          </cell>
          <cell r="P317">
            <v>414</v>
          </cell>
          <cell r="Q317">
            <v>379</v>
          </cell>
          <cell r="R317">
            <v>322</v>
          </cell>
          <cell r="S317">
            <v>281</v>
          </cell>
          <cell r="T317">
            <v>240</v>
          </cell>
          <cell r="U317">
            <v>168</v>
          </cell>
          <cell r="V317">
            <v>95</v>
          </cell>
          <cell r="W317">
            <v>414</v>
          </cell>
          <cell r="X317">
            <v>379</v>
          </cell>
          <cell r="Y317">
            <v>322</v>
          </cell>
          <cell r="Z317">
            <v>281</v>
          </cell>
          <cell r="AA317">
            <v>240</v>
          </cell>
          <cell r="AB317">
            <v>168</v>
          </cell>
          <cell r="AC317">
            <v>95</v>
          </cell>
        </row>
        <row r="318">
          <cell r="A318" t="str">
            <v>14-18-24</v>
          </cell>
          <cell r="B318">
            <v>494</v>
          </cell>
          <cell r="C318">
            <v>447</v>
          </cell>
          <cell r="D318">
            <v>372</v>
          </cell>
          <cell r="E318">
            <v>321</v>
          </cell>
          <cell r="F318">
            <v>269</v>
          </cell>
          <cell r="G318">
            <v>185</v>
          </cell>
          <cell r="H318">
            <v>101</v>
          </cell>
          <cell r="I318">
            <v>494</v>
          </cell>
          <cell r="J318">
            <v>447</v>
          </cell>
          <cell r="K318">
            <v>372</v>
          </cell>
          <cell r="L318">
            <v>321</v>
          </cell>
          <cell r="M318">
            <v>269</v>
          </cell>
          <cell r="N318">
            <v>185</v>
          </cell>
          <cell r="O318">
            <v>101</v>
          </cell>
          <cell r="P318">
            <v>370</v>
          </cell>
          <cell r="Q318">
            <v>342</v>
          </cell>
          <cell r="R318">
            <v>291</v>
          </cell>
          <cell r="S318">
            <v>255</v>
          </cell>
          <cell r="T318">
            <v>219</v>
          </cell>
          <cell r="U318">
            <v>154</v>
          </cell>
          <cell r="V318">
            <v>88</v>
          </cell>
          <cell r="W318">
            <v>370</v>
          </cell>
          <cell r="X318">
            <v>342</v>
          </cell>
          <cell r="Y318">
            <v>291</v>
          </cell>
          <cell r="Z318">
            <v>255</v>
          </cell>
          <cell r="AA318">
            <v>219</v>
          </cell>
          <cell r="AB318">
            <v>154</v>
          </cell>
          <cell r="AC318">
            <v>88</v>
          </cell>
        </row>
        <row r="319">
          <cell r="A319" t="str">
            <v>14-19-24</v>
          </cell>
          <cell r="B319">
            <v>433</v>
          </cell>
          <cell r="C319">
            <v>393</v>
          </cell>
          <cell r="D319">
            <v>331</v>
          </cell>
          <cell r="E319">
            <v>287</v>
          </cell>
          <cell r="F319">
            <v>242</v>
          </cell>
          <cell r="G319">
            <v>166</v>
          </cell>
          <cell r="H319">
            <v>90</v>
          </cell>
          <cell r="I319">
            <v>433</v>
          </cell>
          <cell r="J319">
            <v>393</v>
          </cell>
          <cell r="K319">
            <v>331</v>
          </cell>
          <cell r="L319">
            <v>287</v>
          </cell>
          <cell r="M319">
            <v>242</v>
          </cell>
          <cell r="N319">
            <v>166</v>
          </cell>
          <cell r="O319">
            <v>90</v>
          </cell>
          <cell r="P319">
            <v>324</v>
          </cell>
          <cell r="Q319">
            <v>301</v>
          </cell>
          <cell r="R319">
            <v>259</v>
          </cell>
          <cell r="S319">
            <v>228</v>
          </cell>
          <cell r="T319">
            <v>197</v>
          </cell>
          <cell r="U319">
            <v>138</v>
          </cell>
          <cell r="V319">
            <v>78</v>
          </cell>
          <cell r="W319">
            <v>324</v>
          </cell>
          <cell r="X319">
            <v>301</v>
          </cell>
          <cell r="Y319">
            <v>259</v>
          </cell>
          <cell r="Z319">
            <v>228</v>
          </cell>
          <cell r="AA319">
            <v>197</v>
          </cell>
          <cell r="AB319">
            <v>138</v>
          </cell>
          <cell r="AC319">
            <v>78</v>
          </cell>
        </row>
        <row r="320">
          <cell r="A320" t="str">
            <v>15-17-24</v>
          </cell>
          <cell r="B320">
            <v>543</v>
          </cell>
          <cell r="C320">
            <v>486</v>
          </cell>
          <cell r="D320">
            <v>403</v>
          </cell>
          <cell r="E320">
            <v>347</v>
          </cell>
          <cell r="F320">
            <v>290</v>
          </cell>
          <cell r="G320">
            <v>199</v>
          </cell>
          <cell r="H320">
            <v>107</v>
          </cell>
          <cell r="I320">
            <v>543</v>
          </cell>
          <cell r="J320">
            <v>486</v>
          </cell>
          <cell r="K320">
            <v>403</v>
          </cell>
          <cell r="L320">
            <v>347</v>
          </cell>
          <cell r="M320">
            <v>290</v>
          </cell>
          <cell r="N320">
            <v>199</v>
          </cell>
          <cell r="O320">
            <v>107</v>
          </cell>
          <cell r="P320">
            <v>407</v>
          </cell>
          <cell r="Q320">
            <v>372</v>
          </cell>
          <cell r="R320">
            <v>315</v>
          </cell>
          <cell r="S320">
            <v>275</v>
          </cell>
          <cell r="T320">
            <v>235</v>
          </cell>
          <cell r="U320">
            <v>164</v>
          </cell>
          <cell r="V320">
            <v>93</v>
          </cell>
          <cell r="W320">
            <v>407</v>
          </cell>
          <cell r="X320">
            <v>372</v>
          </cell>
          <cell r="Y320">
            <v>315</v>
          </cell>
          <cell r="Z320">
            <v>275</v>
          </cell>
          <cell r="AA320">
            <v>235</v>
          </cell>
          <cell r="AB320">
            <v>164</v>
          </cell>
          <cell r="AC320">
            <v>93</v>
          </cell>
        </row>
        <row r="321">
          <cell r="A321" t="str">
            <v>15-18-24</v>
          </cell>
          <cell r="B321">
            <v>484</v>
          </cell>
          <cell r="C321">
            <v>437</v>
          </cell>
          <cell r="D321">
            <v>365</v>
          </cell>
          <cell r="E321">
            <v>315</v>
          </cell>
          <cell r="F321">
            <v>265</v>
          </cell>
          <cell r="G321">
            <v>182</v>
          </cell>
          <cell r="H321">
            <v>98</v>
          </cell>
          <cell r="I321">
            <v>484</v>
          </cell>
          <cell r="J321">
            <v>437</v>
          </cell>
          <cell r="K321">
            <v>365</v>
          </cell>
          <cell r="L321">
            <v>315</v>
          </cell>
          <cell r="M321">
            <v>265</v>
          </cell>
          <cell r="N321">
            <v>182</v>
          </cell>
          <cell r="O321">
            <v>98</v>
          </cell>
          <cell r="P321">
            <v>363</v>
          </cell>
          <cell r="Q321">
            <v>335</v>
          </cell>
          <cell r="R321">
            <v>286</v>
          </cell>
          <cell r="S321">
            <v>251</v>
          </cell>
          <cell r="T321">
            <v>215</v>
          </cell>
          <cell r="U321">
            <v>151</v>
          </cell>
          <cell r="V321">
            <v>86</v>
          </cell>
          <cell r="W321">
            <v>363</v>
          </cell>
          <cell r="X321">
            <v>335</v>
          </cell>
          <cell r="Y321">
            <v>286</v>
          </cell>
          <cell r="Z321">
            <v>251</v>
          </cell>
          <cell r="AA321">
            <v>215</v>
          </cell>
          <cell r="AB321">
            <v>151</v>
          </cell>
          <cell r="AC321">
            <v>86</v>
          </cell>
        </row>
        <row r="322">
          <cell r="A322" t="str">
            <v>15-19-24</v>
          </cell>
          <cell r="B322">
            <v>425</v>
          </cell>
          <cell r="C322">
            <v>386</v>
          </cell>
          <cell r="D322">
            <v>325</v>
          </cell>
          <cell r="E322">
            <v>281</v>
          </cell>
          <cell r="F322">
            <v>237</v>
          </cell>
          <cell r="G322">
            <v>163</v>
          </cell>
          <cell r="H322">
            <v>89</v>
          </cell>
          <cell r="I322">
            <v>425</v>
          </cell>
          <cell r="J322">
            <v>386</v>
          </cell>
          <cell r="K322">
            <v>325</v>
          </cell>
          <cell r="L322">
            <v>281</v>
          </cell>
          <cell r="M322">
            <v>237</v>
          </cell>
          <cell r="N322">
            <v>163</v>
          </cell>
          <cell r="O322">
            <v>89</v>
          </cell>
          <cell r="P322">
            <v>318</v>
          </cell>
          <cell r="Q322">
            <v>295</v>
          </cell>
          <cell r="R322">
            <v>254</v>
          </cell>
          <cell r="S322">
            <v>224</v>
          </cell>
          <cell r="T322">
            <v>193</v>
          </cell>
          <cell r="U322">
            <v>136</v>
          </cell>
          <cell r="V322">
            <v>78</v>
          </cell>
          <cell r="W322">
            <v>318</v>
          </cell>
          <cell r="X322">
            <v>295</v>
          </cell>
          <cell r="Y322">
            <v>254</v>
          </cell>
          <cell r="Z322">
            <v>224</v>
          </cell>
          <cell r="AA322">
            <v>193</v>
          </cell>
          <cell r="AB322">
            <v>136</v>
          </cell>
          <cell r="AC322">
            <v>78</v>
          </cell>
        </row>
        <row r="323">
          <cell r="A323" t="str">
            <v>16-18-24</v>
          </cell>
          <cell r="B323">
            <v>475</v>
          </cell>
          <cell r="C323">
            <v>427</v>
          </cell>
          <cell r="D323">
            <v>357</v>
          </cell>
          <cell r="E323">
            <v>307</v>
          </cell>
          <cell r="F323">
            <v>257</v>
          </cell>
          <cell r="G323">
            <v>177</v>
          </cell>
          <cell r="H323">
            <v>96</v>
          </cell>
          <cell r="I323">
            <v>475</v>
          </cell>
          <cell r="J323">
            <v>427</v>
          </cell>
          <cell r="K323">
            <v>357</v>
          </cell>
          <cell r="L323">
            <v>307</v>
          </cell>
          <cell r="M323">
            <v>257</v>
          </cell>
          <cell r="N323">
            <v>177</v>
          </cell>
          <cell r="O323">
            <v>96</v>
          </cell>
          <cell r="P323">
            <v>356</v>
          </cell>
          <cell r="Q323">
            <v>327</v>
          </cell>
          <cell r="R323">
            <v>279</v>
          </cell>
          <cell r="S323">
            <v>244</v>
          </cell>
          <cell r="T323">
            <v>209</v>
          </cell>
          <cell r="U323">
            <v>146</v>
          </cell>
          <cell r="V323">
            <v>83</v>
          </cell>
          <cell r="W323">
            <v>356</v>
          </cell>
          <cell r="X323">
            <v>327</v>
          </cell>
          <cell r="Y323">
            <v>279</v>
          </cell>
          <cell r="Z323">
            <v>244</v>
          </cell>
          <cell r="AA323">
            <v>209</v>
          </cell>
          <cell r="AB323">
            <v>146</v>
          </cell>
          <cell r="AC323">
            <v>83</v>
          </cell>
        </row>
        <row r="324">
          <cell r="A324" t="str">
            <v>16-19-24</v>
          </cell>
          <cell r="B324">
            <v>415</v>
          </cell>
          <cell r="C324">
            <v>376</v>
          </cell>
          <cell r="D324">
            <v>316</v>
          </cell>
          <cell r="E324">
            <v>274</v>
          </cell>
          <cell r="F324">
            <v>231</v>
          </cell>
          <cell r="G324">
            <v>159</v>
          </cell>
          <cell r="H324">
            <v>87</v>
          </cell>
          <cell r="I324">
            <v>415</v>
          </cell>
          <cell r="J324">
            <v>376</v>
          </cell>
          <cell r="K324">
            <v>316</v>
          </cell>
          <cell r="L324">
            <v>274</v>
          </cell>
          <cell r="M324">
            <v>231</v>
          </cell>
          <cell r="N324">
            <v>159</v>
          </cell>
          <cell r="O324">
            <v>87</v>
          </cell>
          <cell r="P324">
            <v>311</v>
          </cell>
          <cell r="Q324">
            <v>288</v>
          </cell>
          <cell r="R324">
            <v>248</v>
          </cell>
          <cell r="S324">
            <v>218</v>
          </cell>
          <cell r="T324">
            <v>187</v>
          </cell>
          <cell r="U324">
            <v>132</v>
          </cell>
          <cell r="V324">
            <v>76</v>
          </cell>
          <cell r="W324">
            <v>311</v>
          </cell>
          <cell r="X324">
            <v>288</v>
          </cell>
          <cell r="Y324">
            <v>248</v>
          </cell>
          <cell r="Z324">
            <v>218</v>
          </cell>
          <cell r="AA324">
            <v>187</v>
          </cell>
          <cell r="AB324">
            <v>132</v>
          </cell>
          <cell r="AC324">
            <v>76</v>
          </cell>
        </row>
        <row r="325">
          <cell r="A325" t="str">
            <v>17-19-24</v>
          </cell>
          <cell r="B325">
            <v>405</v>
          </cell>
          <cell r="C325">
            <v>366</v>
          </cell>
          <cell r="D325">
            <v>306</v>
          </cell>
          <cell r="E325">
            <v>265</v>
          </cell>
          <cell r="F325">
            <v>224</v>
          </cell>
          <cell r="G325">
            <v>155</v>
          </cell>
          <cell r="H325">
            <v>85</v>
          </cell>
          <cell r="I325">
            <v>405</v>
          </cell>
          <cell r="J325">
            <v>366</v>
          </cell>
          <cell r="K325">
            <v>306</v>
          </cell>
          <cell r="L325">
            <v>265</v>
          </cell>
          <cell r="M325">
            <v>224</v>
          </cell>
          <cell r="N325">
            <v>155</v>
          </cell>
          <cell r="O325">
            <v>85</v>
          </cell>
          <cell r="P325">
            <v>303</v>
          </cell>
          <cell r="Q325">
            <v>280</v>
          </cell>
          <cell r="R325">
            <v>240</v>
          </cell>
          <cell r="S325">
            <v>211</v>
          </cell>
          <cell r="T325">
            <v>182</v>
          </cell>
          <cell r="U325">
            <v>128</v>
          </cell>
          <cell r="V325">
            <v>74</v>
          </cell>
          <cell r="W325">
            <v>303</v>
          </cell>
          <cell r="X325">
            <v>280</v>
          </cell>
          <cell r="Y325">
            <v>240</v>
          </cell>
          <cell r="Z325">
            <v>211</v>
          </cell>
          <cell r="AA325">
            <v>182</v>
          </cell>
          <cell r="AB325">
            <v>128</v>
          </cell>
          <cell r="AC325">
            <v>74</v>
          </cell>
        </row>
        <row r="326">
          <cell r="A326" t="str">
            <v>4-6-25</v>
          </cell>
          <cell r="B326">
            <v>1805</v>
          </cell>
          <cell r="C326">
            <v>1568</v>
          </cell>
          <cell r="D326">
            <v>1266</v>
          </cell>
          <cell r="E326">
            <v>1079</v>
          </cell>
          <cell r="F326">
            <v>891</v>
          </cell>
          <cell r="G326">
            <v>619</v>
          </cell>
          <cell r="H326">
            <v>347</v>
          </cell>
          <cell r="I326">
            <v>1213</v>
          </cell>
          <cell r="J326">
            <v>1047</v>
          </cell>
          <cell r="K326">
            <v>840</v>
          </cell>
          <cell r="L326">
            <v>714</v>
          </cell>
          <cell r="M326">
            <v>588</v>
          </cell>
          <cell r="N326">
            <v>408</v>
          </cell>
          <cell r="O326">
            <v>227</v>
          </cell>
          <cell r="P326">
            <v>1353</v>
          </cell>
          <cell r="Q326">
            <v>1200</v>
          </cell>
          <cell r="R326">
            <v>991</v>
          </cell>
          <cell r="S326">
            <v>858</v>
          </cell>
          <cell r="T326">
            <v>724</v>
          </cell>
          <cell r="U326">
            <v>513</v>
          </cell>
          <cell r="V326">
            <v>302</v>
          </cell>
          <cell r="W326">
            <v>909</v>
          </cell>
          <cell r="X326">
            <v>801</v>
          </cell>
          <cell r="Y326">
            <v>657</v>
          </cell>
          <cell r="Z326">
            <v>568</v>
          </cell>
          <cell r="AA326">
            <v>478</v>
          </cell>
          <cell r="AB326">
            <v>338</v>
          </cell>
          <cell r="AC326">
            <v>198</v>
          </cell>
        </row>
        <row r="327">
          <cell r="A327" t="str">
            <v>4-7-25</v>
          </cell>
          <cell r="B327">
            <v>1694</v>
          </cell>
          <cell r="C327">
            <v>1477</v>
          </cell>
          <cell r="D327">
            <v>1196</v>
          </cell>
          <cell r="E327">
            <v>1020</v>
          </cell>
          <cell r="F327">
            <v>844</v>
          </cell>
          <cell r="G327">
            <v>586</v>
          </cell>
          <cell r="H327">
            <v>328</v>
          </cell>
          <cell r="I327">
            <v>1163</v>
          </cell>
          <cell r="J327">
            <v>1006</v>
          </cell>
          <cell r="K327">
            <v>808</v>
          </cell>
          <cell r="L327">
            <v>687</v>
          </cell>
          <cell r="M327">
            <v>566</v>
          </cell>
          <cell r="N327">
            <v>392</v>
          </cell>
          <cell r="O327">
            <v>218</v>
          </cell>
          <cell r="P327">
            <v>1270</v>
          </cell>
          <cell r="Q327">
            <v>1130</v>
          </cell>
          <cell r="R327">
            <v>936</v>
          </cell>
          <cell r="S327">
            <v>811</v>
          </cell>
          <cell r="T327">
            <v>685</v>
          </cell>
          <cell r="U327">
            <v>486</v>
          </cell>
          <cell r="V327">
            <v>286</v>
          </cell>
          <cell r="W327">
            <v>872</v>
          </cell>
          <cell r="X327">
            <v>770</v>
          </cell>
          <cell r="Y327">
            <v>632</v>
          </cell>
          <cell r="Z327">
            <v>546</v>
          </cell>
          <cell r="AA327">
            <v>459</v>
          </cell>
          <cell r="AB327">
            <v>325</v>
          </cell>
          <cell r="AC327">
            <v>190</v>
          </cell>
        </row>
        <row r="328">
          <cell r="A328" t="str">
            <v>4-8-25</v>
          </cell>
          <cell r="B328">
            <v>1580</v>
          </cell>
          <cell r="C328">
            <v>1383</v>
          </cell>
          <cell r="D328">
            <v>1124</v>
          </cell>
          <cell r="E328">
            <v>960</v>
          </cell>
          <cell r="F328">
            <v>796</v>
          </cell>
          <cell r="G328">
            <v>553</v>
          </cell>
          <cell r="H328">
            <v>309</v>
          </cell>
          <cell r="I328">
            <v>1114</v>
          </cell>
          <cell r="J328">
            <v>966</v>
          </cell>
          <cell r="K328">
            <v>777</v>
          </cell>
          <cell r="L328">
            <v>661</v>
          </cell>
          <cell r="M328">
            <v>544</v>
          </cell>
          <cell r="N328">
            <v>377</v>
          </cell>
          <cell r="O328">
            <v>209</v>
          </cell>
          <cell r="P328">
            <v>1185</v>
          </cell>
          <cell r="Q328">
            <v>1058</v>
          </cell>
          <cell r="R328">
            <v>880</v>
          </cell>
          <cell r="S328">
            <v>764</v>
          </cell>
          <cell r="T328">
            <v>647</v>
          </cell>
          <cell r="U328">
            <v>458</v>
          </cell>
          <cell r="V328">
            <v>269</v>
          </cell>
          <cell r="W328">
            <v>835</v>
          </cell>
          <cell r="X328">
            <v>739</v>
          </cell>
          <cell r="Y328">
            <v>609</v>
          </cell>
          <cell r="Z328">
            <v>526</v>
          </cell>
          <cell r="AA328">
            <v>442</v>
          </cell>
          <cell r="AB328">
            <v>312</v>
          </cell>
          <cell r="AC328">
            <v>182</v>
          </cell>
        </row>
        <row r="329">
          <cell r="A329" t="str">
            <v>4-9-25</v>
          </cell>
          <cell r="B329">
            <v>1463</v>
          </cell>
          <cell r="C329">
            <v>1287</v>
          </cell>
          <cell r="D329">
            <v>1050</v>
          </cell>
          <cell r="E329">
            <v>898</v>
          </cell>
          <cell r="F329">
            <v>745</v>
          </cell>
          <cell r="G329">
            <v>516</v>
          </cell>
          <cell r="H329">
            <v>287</v>
          </cell>
          <cell r="I329">
            <v>1067</v>
          </cell>
          <cell r="J329">
            <v>927</v>
          </cell>
          <cell r="K329">
            <v>746</v>
          </cell>
          <cell r="L329">
            <v>635</v>
          </cell>
          <cell r="M329">
            <v>523</v>
          </cell>
          <cell r="N329">
            <v>361</v>
          </cell>
          <cell r="O329">
            <v>199</v>
          </cell>
          <cell r="P329">
            <v>1097</v>
          </cell>
          <cell r="Q329">
            <v>985</v>
          </cell>
          <cell r="R329">
            <v>822</v>
          </cell>
          <cell r="S329">
            <v>714</v>
          </cell>
          <cell r="T329">
            <v>605</v>
          </cell>
          <cell r="U329">
            <v>428</v>
          </cell>
          <cell r="V329">
            <v>250</v>
          </cell>
          <cell r="W329">
            <v>800</v>
          </cell>
          <cell r="X329">
            <v>709</v>
          </cell>
          <cell r="Y329">
            <v>584</v>
          </cell>
          <cell r="Z329">
            <v>505</v>
          </cell>
          <cell r="AA329">
            <v>425</v>
          </cell>
          <cell r="AB329">
            <v>299</v>
          </cell>
          <cell r="AC329">
            <v>173</v>
          </cell>
        </row>
        <row r="330">
          <cell r="A330" t="str">
            <v>4-10-25</v>
          </cell>
          <cell r="B330">
            <v>1340</v>
          </cell>
          <cell r="C330">
            <v>1184</v>
          </cell>
          <cell r="D330">
            <v>971</v>
          </cell>
          <cell r="E330">
            <v>831</v>
          </cell>
          <cell r="F330">
            <v>691</v>
          </cell>
          <cell r="G330">
            <v>479</v>
          </cell>
          <cell r="H330">
            <v>266</v>
          </cell>
          <cell r="I330">
            <v>1017</v>
          </cell>
          <cell r="J330">
            <v>885</v>
          </cell>
          <cell r="K330">
            <v>714</v>
          </cell>
          <cell r="L330">
            <v>607</v>
          </cell>
          <cell r="M330">
            <v>500</v>
          </cell>
          <cell r="N330">
            <v>345</v>
          </cell>
          <cell r="O330">
            <v>190</v>
          </cell>
          <cell r="P330">
            <v>1004</v>
          </cell>
          <cell r="Q330">
            <v>906</v>
          </cell>
          <cell r="R330">
            <v>760</v>
          </cell>
          <cell r="S330">
            <v>661</v>
          </cell>
          <cell r="T330">
            <v>561</v>
          </cell>
          <cell r="U330">
            <v>397</v>
          </cell>
          <cell r="V330">
            <v>232</v>
          </cell>
          <cell r="W330">
            <v>762</v>
          </cell>
          <cell r="X330">
            <v>678</v>
          </cell>
          <cell r="Y330">
            <v>559</v>
          </cell>
          <cell r="Z330">
            <v>483</v>
          </cell>
          <cell r="AA330">
            <v>406</v>
          </cell>
          <cell r="AB330">
            <v>286</v>
          </cell>
          <cell r="AC330">
            <v>165</v>
          </cell>
        </row>
        <row r="331">
          <cell r="A331" t="str">
            <v>4-11-25</v>
          </cell>
          <cell r="B331">
            <v>1208</v>
          </cell>
          <cell r="C331">
            <v>1072</v>
          </cell>
          <cell r="D331">
            <v>885</v>
          </cell>
          <cell r="E331">
            <v>758</v>
          </cell>
          <cell r="F331">
            <v>631</v>
          </cell>
          <cell r="G331">
            <v>436</v>
          </cell>
          <cell r="H331">
            <v>241</v>
          </cell>
          <cell r="I331">
            <v>965</v>
          </cell>
          <cell r="J331">
            <v>842</v>
          </cell>
          <cell r="K331">
            <v>682</v>
          </cell>
          <cell r="L331">
            <v>580</v>
          </cell>
          <cell r="M331">
            <v>477</v>
          </cell>
          <cell r="N331">
            <v>328</v>
          </cell>
          <cell r="O331">
            <v>179</v>
          </cell>
          <cell r="P331">
            <v>906</v>
          </cell>
          <cell r="Q331">
            <v>820</v>
          </cell>
          <cell r="R331">
            <v>693</v>
          </cell>
          <cell r="S331">
            <v>603</v>
          </cell>
          <cell r="T331">
            <v>512</v>
          </cell>
          <cell r="U331">
            <v>361</v>
          </cell>
          <cell r="V331">
            <v>210</v>
          </cell>
          <cell r="W331">
            <v>724</v>
          </cell>
          <cell r="X331">
            <v>644</v>
          </cell>
          <cell r="Y331">
            <v>534</v>
          </cell>
          <cell r="Z331">
            <v>461</v>
          </cell>
          <cell r="AA331">
            <v>387</v>
          </cell>
          <cell r="AB331">
            <v>272</v>
          </cell>
          <cell r="AC331">
            <v>156</v>
          </cell>
        </row>
        <row r="332">
          <cell r="A332" t="str">
            <v>4-12-25</v>
          </cell>
          <cell r="B332">
            <v>1077</v>
          </cell>
          <cell r="C332">
            <v>952</v>
          </cell>
          <cell r="D332">
            <v>790</v>
          </cell>
          <cell r="E332">
            <v>677</v>
          </cell>
          <cell r="F332">
            <v>564</v>
          </cell>
          <cell r="G332">
            <v>390</v>
          </cell>
          <cell r="H332">
            <v>215</v>
          </cell>
          <cell r="I332">
            <v>920</v>
          </cell>
          <cell r="J332">
            <v>797</v>
          </cell>
          <cell r="K332">
            <v>648</v>
          </cell>
          <cell r="L332">
            <v>550</v>
          </cell>
          <cell r="M332">
            <v>452</v>
          </cell>
          <cell r="N332">
            <v>311</v>
          </cell>
          <cell r="O332">
            <v>170</v>
          </cell>
          <cell r="P332">
            <v>807</v>
          </cell>
          <cell r="Q332">
            <v>729</v>
          </cell>
          <cell r="R332">
            <v>618</v>
          </cell>
          <cell r="S332">
            <v>538</v>
          </cell>
          <cell r="T332">
            <v>458</v>
          </cell>
          <cell r="U332">
            <v>323</v>
          </cell>
          <cell r="V332">
            <v>187</v>
          </cell>
          <cell r="W332">
            <v>689</v>
          </cell>
          <cell r="X332">
            <v>610</v>
          </cell>
          <cell r="Y332">
            <v>507</v>
          </cell>
          <cell r="Z332">
            <v>437</v>
          </cell>
          <cell r="AA332">
            <v>367</v>
          </cell>
          <cell r="AB332">
            <v>258</v>
          </cell>
          <cell r="AC332">
            <v>148</v>
          </cell>
        </row>
        <row r="333">
          <cell r="A333" t="str">
            <v>5-7-25</v>
          </cell>
          <cell r="B333">
            <v>1693</v>
          </cell>
          <cell r="C333">
            <v>1473</v>
          </cell>
          <cell r="D333">
            <v>1191</v>
          </cell>
          <cell r="E333">
            <v>1015</v>
          </cell>
          <cell r="F333">
            <v>839</v>
          </cell>
          <cell r="G333">
            <v>582</v>
          </cell>
          <cell r="H333">
            <v>325</v>
          </cell>
          <cell r="I333">
            <v>1163</v>
          </cell>
          <cell r="J333">
            <v>1005</v>
          </cell>
          <cell r="K333">
            <v>807</v>
          </cell>
          <cell r="L333">
            <v>685</v>
          </cell>
          <cell r="M333">
            <v>563</v>
          </cell>
          <cell r="N333">
            <v>390</v>
          </cell>
          <cell r="O333">
            <v>217</v>
          </cell>
          <cell r="P333">
            <v>1269</v>
          </cell>
          <cell r="Q333">
            <v>1127</v>
          </cell>
          <cell r="R333">
            <v>932</v>
          </cell>
          <cell r="S333">
            <v>807</v>
          </cell>
          <cell r="T333">
            <v>681</v>
          </cell>
          <cell r="U333">
            <v>482</v>
          </cell>
          <cell r="V333">
            <v>283</v>
          </cell>
          <cell r="W333">
            <v>872</v>
          </cell>
          <cell r="X333">
            <v>769</v>
          </cell>
          <cell r="Y333">
            <v>631</v>
          </cell>
          <cell r="Z333">
            <v>544</v>
          </cell>
          <cell r="AA333">
            <v>457</v>
          </cell>
          <cell r="AB333">
            <v>323</v>
          </cell>
          <cell r="AC333">
            <v>189</v>
          </cell>
        </row>
        <row r="334">
          <cell r="A334" t="str">
            <v>5-8-25</v>
          </cell>
          <cell r="B334">
            <v>1578</v>
          </cell>
          <cell r="C334">
            <v>1379</v>
          </cell>
          <cell r="D334">
            <v>1119</v>
          </cell>
          <cell r="E334">
            <v>955</v>
          </cell>
          <cell r="F334">
            <v>790</v>
          </cell>
          <cell r="G334">
            <v>548</v>
          </cell>
          <cell r="H334">
            <v>305</v>
          </cell>
          <cell r="I334">
            <v>1114</v>
          </cell>
          <cell r="J334">
            <v>964</v>
          </cell>
          <cell r="K334">
            <v>775</v>
          </cell>
          <cell r="L334">
            <v>659</v>
          </cell>
          <cell r="M334">
            <v>542</v>
          </cell>
          <cell r="N334">
            <v>375</v>
          </cell>
          <cell r="O334">
            <v>207</v>
          </cell>
          <cell r="P334">
            <v>1183</v>
          </cell>
          <cell r="Q334">
            <v>1055</v>
          </cell>
          <cell r="R334">
            <v>876</v>
          </cell>
          <cell r="S334">
            <v>759</v>
          </cell>
          <cell r="T334">
            <v>642</v>
          </cell>
          <cell r="U334">
            <v>454</v>
          </cell>
          <cell r="V334">
            <v>266</v>
          </cell>
          <cell r="W334">
            <v>835</v>
          </cell>
          <cell r="X334">
            <v>738</v>
          </cell>
          <cell r="Y334">
            <v>607</v>
          </cell>
          <cell r="Z334">
            <v>524</v>
          </cell>
          <cell r="AA334">
            <v>440</v>
          </cell>
          <cell r="AB334">
            <v>310</v>
          </cell>
          <cell r="AC334">
            <v>180</v>
          </cell>
        </row>
        <row r="335">
          <cell r="A335" t="str">
            <v>5-9-25</v>
          </cell>
          <cell r="B335">
            <v>1459</v>
          </cell>
          <cell r="C335">
            <v>1281</v>
          </cell>
          <cell r="D335">
            <v>1044</v>
          </cell>
          <cell r="E335">
            <v>892</v>
          </cell>
          <cell r="F335">
            <v>740</v>
          </cell>
          <cell r="G335">
            <v>513</v>
          </cell>
          <cell r="H335">
            <v>285</v>
          </cell>
          <cell r="I335">
            <v>1064</v>
          </cell>
          <cell r="J335">
            <v>924</v>
          </cell>
          <cell r="K335">
            <v>745</v>
          </cell>
          <cell r="L335">
            <v>633</v>
          </cell>
          <cell r="M335">
            <v>521</v>
          </cell>
          <cell r="N335">
            <v>360</v>
          </cell>
          <cell r="O335">
            <v>198</v>
          </cell>
          <cell r="P335">
            <v>1094</v>
          </cell>
          <cell r="Q335">
            <v>980</v>
          </cell>
          <cell r="R335">
            <v>817</v>
          </cell>
          <cell r="S335">
            <v>709</v>
          </cell>
          <cell r="T335">
            <v>601</v>
          </cell>
          <cell r="U335">
            <v>425</v>
          </cell>
          <cell r="V335">
            <v>248</v>
          </cell>
          <cell r="W335">
            <v>797</v>
          </cell>
          <cell r="X335">
            <v>707</v>
          </cell>
          <cell r="Y335">
            <v>583</v>
          </cell>
          <cell r="Z335">
            <v>503</v>
          </cell>
          <cell r="AA335">
            <v>423</v>
          </cell>
          <cell r="AB335">
            <v>298</v>
          </cell>
          <cell r="AC335">
            <v>172</v>
          </cell>
        </row>
        <row r="336">
          <cell r="A336" t="str">
            <v>5-10-25</v>
          </cell>
          <cell r="B336">
            <v>1336</v>
          </cell>
          <cell r="C336">
            <v>1178</v>
          </cell>
          <cell r="D336">
            <v>965</v>
          </cell>
          <cell r="E336">
            <v>826</v>
          </cell>
          <cell r="F336">
            <v>686</v>
          </cell>
          <cell r="G336">
            <v>475</v>
          </cell>
          <cell r="H336">
            <v>263</v>
          </cell>
          <cell r="I336">
            <v>1015</v>
          </cell>
          <cell r="J336">
            <v>883</v>
          </cell>
          <cell r="K336">
            <v>712</v>
          </cell>
          <cell r="L336">
            <v>605</v>
          </cell>
          <cell r="M336">
            <v>498</v>
          </cell>
          <cell r="N336">
            <v>343</v>
          </cell>
          <cell r="O336">
            <v>188</v>
          </cell>
          <cell r="P336">
            <v>1001</v>
          </cell>
          <cell r="Q336">
            <v>902</v>
          </cell>
          <cell r="R336">
            <v>756</v>
          </cell>
          <cell r="S336">
            <v>657</v>
          </cell>
          <cell r="T336">
            <v>557</v>
          </cell>
          <cell r="U336">
            <v>393</v>
          </cell>
          <cell r="V336">
            <v>229</v>
          </cell>
          <cell r="W336">
            <v>760</v>
          </cell>
          <cell r="X336">
            <v>676</v>
          </cell>
          <cell r="Y336">
            <v>558</v>
          </cell>
          <cell r="Z336">
            <v>481</v>
          </cell>
          <cell r="AA336">
            <v>404</v>
          </cell>
          <cell r="AB336">
            <v>284</v>
          </cell>
          <cell r="AC336">
            <v>164</v>
          </cell>
        </row>
        <row r="337">
          <cell r="A337" t="str">
            <v>5-11-25</v>
          </cell>
          <cell r="B337">
            <v>1206</v>
          </cell>
          <cell r="C337">
            <v>1070</v>
          </cell>
          <cell r="D337">
            <v>881</v>
          </cell>
          <cell r="E337">
            <v>754</v>
          </cell>
          <cell r="F337">
            <v>627</v>
          </cell>
          <cell r="G337">
            <v>434</v>
          </cell>
          <cell r="H337">
            <v>240</v>
          </cell>
          <cell r="I337">
            <v>964</v>
          </cell>
          <cell r="J337">
            <v>841</v>
          </cell>
          <cell r="K337">
            <v>680</v>
          </cell>
          <cell r="L337">
            <v>579</v>
          </cell>
          <cell r="M337">
            <v>477</v>
          </cell>
          <cell r="N337">
            <v>328</v>
          </cell>
          <cell r="O337">
            <v>179</v>
          </cell>
          <cell r="P337">
            <v>904</v>
          </cell>
          <cell r="Q337">
            <v>819</v>
          </cell>
          <cell r="R337">
            <v>690</v>
          </cell>
          <cell r="S337">
            <v>600</v>
          </cell>
          <cell r="T337">
            <v>509</v>
          </cell>
          <cell r="U337">
            <v>359</v>
          </cell>
          <cell r="V337">
            <v>209</v>
          </cell>
          <cell r="W337">
            <v>723</v>
          </cell>
          <cell r="X337">
            <v>644</v>
          </cell>
          <cell r="Y337">
            <v>533</v>
          </cell>
          <cell r="Z337">
            <v>460</v>
          </cell>
          <cell r="AA337">
            <v>387</v>
          </cell>
          <cell r="AB337">
            <v>272</v>
          </cell>
          <cell r="AC337">
            <v>156</v>
          </cell>
        </row>
        <row r="338">
          <cell r="A338" t="str">
            <v>5-12-25</v>
          </cell>
          <cell r="B338">
            <v>1075</v>
          </cell>
          <cell r="C338">
            <v>951</v>
          </cell>
          <cell r="D338">
            <v>786</v>
          </cell>
          <cell r="E338">
            <v>674</v>
          </cell>
          <cell r="F338">
            <v>562</v>
          </cell>
          <cell r="G338">
            <v>389</v>
          </cell>
          <cell r="H338">
            <v>215</v>
          </cell>
          <cell r="I338">
            <v>919</v>
          </cell>
          <cell r="J338">
            <v>798</v>
          </cell>
          <cell r="K338">
            <v>646</v>
          </cell>
          <cell r="L338">
            <v>549</v>
          </cell>
          <cell r="M338">
            <v>452</v>
          </cell>
          <cell r="N338">
            <v>311</v>
          </cell>
          <cell r="O338">
            <v>170</v>
          </cell>
          <cell r="P338">
            <v>806</v>
          </cell>
          <cell r="Q338">
            <v>727</v>
          </cell>
          <cell r="R338">
            <v>615</v>
          </cell>
          <cell r="S338">
            <v>536</v>
          </cell>
          <cell r="T338">
            <v>456</v>
          </cell>
          <cell r="U338">
            <v>322</v>
          </cell>
          <cell r="V338">
            <v>187</v>
          </cell>
          <cell r="W338">
            <v>689</v>
          </cell>
          <cell r="X338">
            <v>610</v>
          </cell>
          <cell r="Y338">
            <v>506</v>
          </cell>
          <cell r="Z338">
            <v>436</v>
          </cell>
          <cell r="AA338">
            <v>366</v>
          </cell>
          <cell r="AB338">
            <v>257</v>
          </cell>
          <cell r="AC338">
            <v>148</v>
          </cell>
        </row>
        <row r="339">
          <cell r="A339" t="str">
            <v>5-13-25</v>
          </cell>
          <cell r="B339">
            <v>925</v>
          </cell>
          <cell r="C339">
            <v>822</v>
          </cell>
          <cell r="D339">
            <v>684</v>
          </cell>
          <cell r="E339">
            <v>588</v>
          </cell>
          <cell r="F339">
            <v>491</v>
          </cell>
          <cell r="G339">
            <v>339</v>
          </cell>
          <cell r="H339">
            <v>186</v>
          </cell>
          <cell r="I339">
            <v>865</v>
          </cell>
          <cell r="J339">
            <v>752</v>
          </cell>
          <cell r="K339">
            <v>610</v>
          </cell>
          <cell r="L339">
            <v>519</v>
          </cell>
          <cell r="M339">
            <v>427</v>
          </cell>
          <cell r="N339">
            <v>293</v>
          </cell>
          <cell r="O339">
            <v>158</v>
          </cell>
          <cell r="P339">
            <v>693</v>
          </cell>
          <cell r="Q339">
            <v>629</v>
          </cell>
          <cell r="R339">
            <v>535</v>
          </cell>
          <cell r="S339">
            <v>467</v>
          </cell>
          <cell r="T339">
            <v>399</v>
          </cell>
          <cell r="U339">
            <v>281</v>
          </cell>
          <cell r="V339">
            <v>162</v>
          </cell>
          <cell r="W339">
            <v>648</v>
          </cell>
          <cell r="X339">
            <v>576</v>
          </cell>
          <cell r="Y339">
            <v>477</v>
          </cell>
          <cell r="Z339">
            <v>412</v>
          </cell>
          <cell r="AA339">
            <v>347</v>
          </cell>
          <cell r="AB339">
            <v>243</v>
          </cell>
          <cell r="AC339">
            <v>138</v>
          </cell>
        </row>
        <row r="340">
          <cell r="A340" t="str">
            <v>6-8-25</v>
          </cell>
          <cell r="B340">
            <v>1574</v>
          </cell>
          <cell r="C340">
            <v>1374</v>
          </cell>
          <cell r="D340">
            <v>1114</v>
          </cell>
          <cell r="E340">
            <v>949</v>
          </cell>
          <cell r="F340">
            <v>784</v>
          </cell>
          <cell r="G340">
            <v>543</v>
          </cell>
          <cell r="H340">
            <v>301</v>
          </cell>
          <cell r="I340">
            <v>1112</v>
          </cell>
          <cell r="J340">
            <v>962</v>
          </cell>
          <cell r="K340">
            <v>773</v>
          </cell>
          <cell r="L340">
            <v>656</v>
          </cell>
          <cell r="M340">
            <v>539</v>
          </cell>
          <cell r="N340">
            <v>372</v>
          </cell>
          <cell r="O340">
            <v>205</v>
          </cell>
          <cell r="P340">
            <v>1180</v>
          </cell>
          <cell r="Q340">
            <v>1052</v>
          </cell>
          <cell r="R340">
            <v>872</v>
          </cell>
          <cell r="S340">
            <v>755</v>
          </cell>
          <cell r="T340">
            <v>637</v>
          </cell>
          <cell r="U340">
            <v>450</v>
          </cell>
          <cell r="V340">
            <v>262</v>
          </cell>
          <cell r="W340">
            <v>834</v>
          </cell>
          <cell r="X340">
            <v>736</v>
          </cell>
          <cell r="Y340">
            <v>605</v>
          </cell>
          <cell r="Z340">
            <v>522</v>
          </cell>
          <cell r="AA340">
            <v>438</v>
          </cell>
          <cell r="AB340">
            <v>309</v>
          </cell>
          <cell r="AC340">
            <v>179</v>
          </cell>
        </row>
        <row r="341">
          <cell r="A341" t="str">
            <v>6-9-25</v>
          </cell>
          <cell r="B341">
            <v>1454</v>
          </cell>
          <cell r="C341">
            <v>1275</v>
          </cell>
          <cell r="D341">
            <v>1038</v>
          </cell>
          <cell r="E341">
            <v>886</v>
          </cell>
          <cell r="F341">
            <v>733</v>
          </cell>
          <cell r="G341">
            <v>507</v>
          </cell>
          <cell r="H341">
            <v>280</v>
          </cell>
          <cell r="I341">
            <v>1062</v>
          </cell>
          <cell r="J341">
            <v>922</v>
          </cell>
          <cell r="K341">
            <v>741</v>
          </cell>
          <cell r="L341">
            <v>629</v>
          </cell>
          <cell r="M341">
            <v>517</v>
          </cell>
          <cell r="N341">
            <v>356</v>
          </cell>
          <cell r="O341">
            <v>195</v>
          </cell>
          <cell r="P341">
            <v>1090</v>
          </cell>
          <cell r="Q341">
            <v>976</v>
          </cell>
          <cell r="R341">
            <v>813</v>
          </cell>
          <cell r="S341">
            <v>705</v>
          </cell>
          <cell r="T341">
            <v>596</v>
          </cell>
          <cell r="U341">
            <v>420</v>
          </cell>
          <cell r="V341">
            <v>244</v>
          </cell>
          <cell r="W341">
            <v>796</v>
          </cell>
          <cell r="X341">
            <v>706</v>
          </cell>
          <cell r="Y341">
            <v>580</v>
          </cell>
          <cell r="Z341">
            <v>501</v>
          </cell>
          <cell r="AA341">
            <v>421</v>
          </cell>
          <cell r="AB341">
            <v>296</v>
          </cell>
          <cell r="AC341">
            <v>170</v>
          </cell>
        </row>
        <row r="342">
          <cell r="A342" t="str">
            <v>6-10-25</v>
          </cell>
          <cell r="B342">
            <v>1331</v>
          </cell>
          <cell r="C342">
            <v>1172</v>
          </cell>
          <cell r="D342">
            <v>959</v>
          </cell>
          <cell r="E342">
            <v>820</v>
          </cell>
          <cell r="F342">
            <v>680</v>
          </cell>
          <cell r="G342">
            <v>471</v>
          </cell>
          <cell r="H342">
            <v>261</v>
          </cell>
          <cell r="I342">
            <v>1013</v>
          </cell>
          <cell r="J342">
            <v>879</v>
          </cell>
          <cell r="K342">
            <v>711</v>
          </cell>
          <cell r="L342">
            <v>604</v>
          </cell>
          <cell r="M342">
            <v>497</v>
          </cell>
          <cell r="N342">
            <v>343</v>
          </cell>
          <cell r="O342">
            <v>188</v>
          </cell>
          <cell r="P342">
            <v>997</v>
          </cell>
          <cell r="Q342">
            <v>897</v>
          </cell>
          <cell r="R342">
            <v>751</v>
          </cell>
          <cell r="S342">
            <v>652</v>
          </cell>
          <cell r="T342">
            <v>552</v>
          </cell>
          <cell r="U342">
            <v>390</v>
          </cell>
          <cell r="V342">
            <v>227</v>
          </cell>
          <cell r="W342">
            <v>759</v>
          </cell>
          <cell r="X342">
            <v>673</v>
          </cell>
          <cell r="Y342">
            <v>557</v>
          </cell>
          <cell r="Z342">
            <v>480</v>
          </cell>
          <cell r="AA342">
            <v>403</v>
          </cell>
          <cell r="AB342">
            <v>283</v>
          </cell>
          <cell r="AC342">
            <v>163</v>
          </cell>
        </row>
        <row r="343">
          <cell r="A343" t="str">
            <v>6-11-25</v>
          </cell>
          <cell r="B343">
            <v>1202</v>
          </cell>
          <cell r="C343">
            <v>1064</v>
          </cell>
          <cell r="D343">
            <v>876</v>
          </cell>
          <cell r="E343">
            <v>750</v>
          </cell>
          <cell r="F343">
            <v>623</v>
          </cell>
          <cell r="G343">
            <v>431</v>
          </cell>
          <cell r="H343">
            <v>238</v>
          </cell>
          <cell r="I343">
            <v>964</v>
          </cell>
          <cell r="J343">
            <v>838</v>
          </cell>
          <cell r="K343">
            <v>678</v>
          </cell>
          <cell r="L343">
            <v>576</v>
          </cell>
          <cell r="M343">
            <v>474</v>
          </cell>
          <cell r="N343">
            <v>326</v>
          </cell>
          <cell r="O343">
            <v>178</v>
          </cell>
          <cell r="P343">
            <v>901</v>
          </cell>
          <cell r="Q343">
            <v>814</v>
          </cell>
          <cell r="R343">
            <v>686</v>
          </cell>
          <cell r="S343">
            <v>596</v>
          </cell>
          <cell r="T343">
            <v>506</v>
          </cell>
          <cell r="U343">
            <v>357</v>
          </cell>
          <cell r="V343">
            <v>207</v>
          </cell>
          <cell r="W343">
            <v>722</v>
          </cell>
          <cell r="X343">
            <v>641</v>
          </cell>
          <cell r="Y343">
            <v>531</v>
          </cell>
          <cell r="Z343">
            <v>458</v>
          </cell>
          <cell r="AA343">
            <v>385</v>
          </cell>
          <cell r="AB343">
            <v>270</v>
          </cell>
          <cell r="AC343">
            <v>155</v>
          </cell>
        </row>
        <row r="344">
          <cell r="A344" t="str">
            <v>6-12-25</v>
          </cell>
          <cell r="B344">
            <v>1072</v>
          </cell>
          <cell r="C344">
            <v>947</v>
          </cell>
          <cell r="D344">
            <v>782</v>
          </cell>
          <cell r="E344">
            <v>671</v>
          </cell>
          <cell r="F344">
            <v>559</v>
          </cell>
          <cell r="G344">
            <v>386</v>
          </cell>
          <cell r="H344">
            <v>213</v>
          </cell>
          <cell r="I344">
            <v>918</v>
          </cell>
          <cell r="J344">
            <v>795</v>
          </cell>
          <cell r="K344">
            <v>645</v>
          </cell>
          <cell r="L344">
            <v>548</v>
          </cell>
          <cell r="M344">
            <v>451</v>
          </cell>
          <cell r="N344">
            <v>310</v>
          </cell>
          <cell r="O344">
            <v>168</v>
          </cell>
          <cell r="P344">
            <v>803</v>
          </cell>
          <cell r="Q344">
            <v>725</v>
          </cell>
          <cell r="R344">
            <v>612</v>
          </cell>
          <cell r="S344">
            <v>533</v>
          </cell>
          <cell r="T344">
            <v>454</v>
          </cell>
          <cell r="U344">
            <v>320</v>
          </cell>
          <cell r="V344">
            <v>186</v>
          </cell>
          <cell r="W344">
            <v>688</v>
          </cell>
          <cell r="X344">
            <v>609</v>
          </cell>
          <cell r="Y344">
            <v>504</v>
          </cell>
          <cell r="Z344">
            <v>435</v>
          </cell>
          <cell r="AA344">
            <v>366</v>
          </cell>
          <cell r="AB344">
            <v>257</v>
          </cell>
          <cell r="AC344">
            <v>147</v>
          </cell>
        </row>
        <row r="345">
          <cell r="A345" t="str">
            <v>6-13-25</v>
          </cell>
          <cell r="B345">
            <v>921</v>
          </cell>
          <cell r="C345">
            <v>820</v>
          </cell>
          <cell r="D345">
            <v>682</v>
          </cell>
          <cell r="E345">
            <v>586</v>
          </cell>
          <cell r="F345">
            <v>489</v>
          </cell>
          <cell r="G345">
            <v>337</v>
          </cell>
          <cell r="H345">
            <v>185</v>
          </cell>
          <cell r="I345">
            <v>863</v>
          </cell>
          <cell r="J345">
            <v>750</v>
          </cell>
          <cell r="K345">
            <v>610</v>
          </cell>
          <cell r="L345">
            <v>518</v>
          </cell>
          <cell r="M345">
            <v>426</v>
          </cell>
          <cell r="N345">
            <v>292</v>
          </cell>
          <cell r="O345">
            <v>158</v>
          </cell>
          <cell r="P345">
            <v>691</v>
          </cell>
          <cell r="Q345">
            <v>627</v>
          </cell>
          <cell r="R345">
            <v>534</v>
          </cell>
          <cell r="S345">
            <v>466</v>
          </cell>
          <cell r="T345">
            <v>397</v>
          </cell>
          <cell r="U345">
            <v>279</v>
          </cell>
          <cell r="V345">
            <v>161</v>
          </cell>
          <cell r="W345">
            <v>647</v>
          </cell>
          <cell r="X345">
            <v>574</v>
          </cell>
          <cell r="Y345">
            <v>478</v>
          </cell>
          <cell r="Z345">
            <v>412</v>
          </cell>
          <cell r="AA345">
            <v>346</v>
          </cell>
          <cell r="AB345">
            <v>242</v>
          </cell>
          <cell r="AC345">
            <v>138</v>
          </cell>
        </row>
        <row r="346">
          <cell r="A346" t="str">
            <v>6-14-25</v>
          </cell>
          <cell r="B346">
            <v>841</v>
          </cell>
          <cell r="C346">
            <v>740</v>
          </cell>
          <cell r="D346">
            <v>601</v>
          </cell>
          <cell r="E346">
            <v>511</v>
          </cell>
          <cell r="F346">
            <v>421</v>
          </cell>
          <cell r="G346">
            <v>289</v>
          </cell>
          <cell r="H346">
            <v>156</v>
          </cell>
          <cell r="I346">
            <v>841</v>
          </cell>
          <cell r="J346">
            <v>740</v>
          </cell>
          <cell r="K346">
            <v>601</v>
          </cell>
          <cell r="L346">
            <v>511</v>
          </cell>
          <cell r="M346">
            <v>421</v>
          </cell>
          <cell r="N346">
            <v>289</v>
          </cell>
          <cell r="O346">
            <v>156</v>
          </cell>
          <cell r="P346">
            <v>630</v>
          </cell>
          <cell r="Q346">
            <v>566</v>
          </cell>
          <cell r="R346">
            <v>471</v>
          </cell>
          <cell r="S346">
            <v>407</v>
          </cell>
          <cell r="T346">
            <v>342</v>
          </cell>
          <cell r="U346">
            <v>239</v>
          </cell>
          <cell r="V346">
            <v>136</v>
          </cell>
          <cell r="W346">
            <v>630</v>
          </cell>
          <cell r="X346">
            <v>566</v>
          </cell>
          <cell r="Y346">
            <v>471</v>
          </cell>
          <cell r="Z346">
            <v>407</v>
          </cell>
          <cell r="AA346">
            <v>342</v>
          </cell>
          <cell r="AB346">
            <v>239</v>
          </cell>
          <cell r="AC346">
            <v>136</v>
          </cell>
        </row>
        <row r="347">
          <cell r="A347" t="str">
            <v>7-9-25</v>
          </cell>
          <cell r="B347">
            <v>1451</v>
          </cell>
          <cell r="C347">
            <v>1269</v>
          </cell>
          <cell r="D347">
            <v>1032</v>
          </cell>
          <cell r="E347">
            <v>880</v>
          </cell>
          <cell r="F347">
            <v>727</v>
          </cell>
          <cell r="G347">
            <v>502</v>
          </cell>
          <cell r="H347">
            <v>277</v>
          </cell>
          <cell r="I347">
            <v>1061</v>
          </cell>
          <cell r="J347">
            <v>919</v>
          </cell>
          <cell r="K347">
            <v>739</v>
          </cell>
          <cell r="L347">
            <v>627</v>
          </cell>
          <cell r="M347">
            <v>515</v>
          </cell>
          <cell r="N347">
            <v>355</v>
          </cell>
          <cell r="O347">
            <v>194</v>
          </cell>
          <cell r="P347">
            <v>1088</v>
          </cell>
          <cell r="Q347">
            <v>971</v>
          </cell>
          <cell r="R347">
            <v>808</v>
          </cell>
          <cell r="S347">
            <v>700</v>
          </cell>
          <cell r="T347">
            <v>591</v>
          </cell>
          <cell r="U347">
            <v>416</v>
          </cell>
          <cell r="V347">
            <v>241</v>
          </cell>
          <cell r="W347">
            <v>796</v>
          </cell>
          <cell r="X347">
            <v>703</v>
          </cell>
          <cell r="Y347">
            <v>578</v>
          </cell>
          <cell r="Z347">
            <v>499</v>
          </cell>
          <cell r="AA347">
            <v>419</v>
          </cell>
          <cell r="AB347">
            <v>294</v>
          </cell>
          <cell r="AC347">
            <v>169</v>
          </cell>
        </row>
        <row r="348">
          <cell r="A348" t="str">
            <v>7-10-25</v>
          </cell>
          <cell r="B348">
            <v>1325</v>
          </cell>
          <cell r="C348">
            <v>1166</v>
          </cell>
          <cell r="D348">
            <v>953</v>
          </cell>
          <cell r="E348">
            <v>813</v>
          </cell>
          <cell r="F348">
            <v>673</v>
          </cell>
          <cell r="G348">
            <v>465</v>
          </cell>
          <cell r="H348">
            <v>256</v>
          </cell>
          <cell r="I348">
            <v>1010</v>
          </cell>
          <cell r="J348">
            <v>878</v>
          </cell>
          <cell r="K348">
            <v>708</v>
          </cell>
          <cell r="L348">
            <v>601</v>
          </cell>
          <cell r="M348">
            <v>494</v>
          </cell>
          <cell r="N348">
            <v>340</v>
          </cell>
          <cell r="O348">
            <v>185</v>
          </cell>
          <cell r="P348">
            <v>993</v>
          </cell>
          <cell r="Q348">
            <v>892</v>
          </cell>
          <cell r="R348">
            <v>746</v>
          </cell>
          <cell r="S348">
            <v>647</v>
          </cell>
          <cell r="T348">
            <v>547</v>
          </cell>
          <cell r="U348">
            <v>385</v>
          </cell>
          <cell r="V348">
            <v>223</v>
          </cell>
          <cell r="W348">
            <v>757</v>
          </cell>
          <cell r="X348">
            <v>671</v>
          </cell>
          <cell r="Y348">
            <v>554</v>
          </cell>
          <cell r="Z348">
            <v>478</v>
          </cell>
          <cell r="AA348">
            <v>401</v>
          </cell>
          <cell r="AB348">
            <v>281</v>
          </cell>
          <cell r="AC348">
            <v>161</v>
          </cell>
        </row>
        <row r="349">
          <cell r="A349" t="str">
            <v>7-11-25</v>
          </cell>
          <cell r="B349">
            <v>1196</v>
          </cell>
          <cell r="C349">
            <v>1057</v>
          </cell>
          <cell r="D349">
            <v>869</v>
          </cell>
          <cell r="E349">
            <v>743</v>
          </cell>
          <cell r="F349">
            <v>617</v>
          </cell>
          <cell r="G349">
            <v>426</v>
          </cell>
          <cell r="H349">
            <v>235</v>
          </cell>
          <cell r="I349">
            <v>961</v>
          </cell>
          <cell r="J349">
            <v>836</v>
          </cell>
          <cell r="K349">
            <v>675</v>
          </cell>
          <cell r="L349">
            <v>574</v>
          </cell>
          <cell r="M349">
            <v>472</v>
          </cell>
          <cell r="N349">
            <v>324</v>
          </cell>
          <cell r="O349">
            <v>176</v>
          </cell>
          <cell r="P349">
            <v>896</v>
          </cell>
          <cell r="Q349">
            <v>809</v>
          </cell>
          <cell r="R349">
            <v>680</v>
          </cell>
          <cell r="S349">
            <v>591</v>
          </cell>
          <cell r="T349">
            <v>501</v>
          </cell>
          <cell r="U349">
            <v>353</v>
          </cell>
          <cell r="V349">
            <v>205</v>
          </cell>
          <cell r="W349">
            <v>720</v>
          </cell>
          <cell r="X349">
            <v>640</v>
          </cell>
          <cell r="Y349">
            <v>529</v>
          </cell>
          <cell r="Z349">
            <v>456</v>
          </cell>
          <cell r="AA349">
            <v>383</v>
          </cell>
          <cell r="AB349">
            <v>269</v>
          </cell>
          <cell r="AC349">
            <v>154</v>
          </cell>
        </row>
        <row r="350">
          <cell r="A350" t="str">
            <v>7-12-25</v>
          </cell>
          <cell r="B350">
            <v>1068</v>
          </cell>
          <cell r="C350">
            <v>942</v>
          </cell>
          <cell r="D350">
            <v>779</v>
          </cell>
          <cell r="E350">
            <v>668</v>
          </cell>
          <cell r="F350">
            <v>557</v>
          </cell>
          <cell r="G350">
            <v>384</v>
          </cell>
          <cell r="H350">
            <v>211</v>
          </cell>
          <cell r="I350">
            <v>918</v>
          </cell>
          <cell r="J350">
            <v>794</v>
          </cell>
          <cell r="K350">
            <v>643</v>
          </cell>
          <cell r="L350">
            <v>547</v>
          </cell>
          <cell r="M350">
            <v>450</v>
          </cell>
          <cell r="N350">
            <v>309</v>
          </cell>
          <cell r="O350">
            <v>167</v>
          </cell>
          <cell r="P350">
            <v>801</v>
          </cell>
          <cell r="Q350">
            <v>721</v>
          </cell>
          <cell r="R350">
            <v>610</v>
          </cell>
          <cell r="S350">
            <v>531</v>
          </cell>
          <cell r="T350">
            <v>452</v>
          </cell>
          <cell r="U350">
            <v>318</v>
          </cell>
          <cell r="V350">
            <v>184</v>
          </cell>
          <cell r="W350">
            <v>688</v>
          </cell>
          <cell r="X350">
            <v>608</v>
          </cell>
          <cell r="Y350">
            <v>503</v>
          </cell>
          <cell r="Z350">
            <v>434</v>
          </cell>
          <cell r="AA350">
            <v>365</v>
          </cell>
          <cell r="AB350">
            <v>256</v>
          </cell>
          <cell r="AC350">
            <v>146</v>
          </cell>
        </row>
        <row r="351">
          <cell r="A351" t="str">
            <v>7-13-25</v>
          </cell>
          <cell r="B351">
            <v>918</v>
          </cell>
          <cell r="C351">
            <v>816</v>
          </cell>
          <cell r="D351">
            <v>678</v>
          </cell>
          <cell r="E351">
            <v>582</v>
          </cell>
          <cell r="F351">
            <v>486</v>
          </cell>
          <cell r="G351">
            <v>336</v>
          </cell>
          <cell r="H351">
            <v>185</v>
          </cell>
          <cell r="I351">
            <v>862</v>
          </cell>
          <cell r="J351">
            <v>749</v>
          </cell>
          <cell r="K351">
            <v>607</v>
          </cell>
          <cell r="L351">
            <v>516</v>
          </cell>
          <cell r="M351">
            <v>425</v>
          </cell>
          <cell r="N351">
            <v>292</v>
          </cell>
          <cell r="O351">
            <v>158</v>
          </cell>
          <cell r="P351">
            <v>688</v>
          </cell>
          <cell r="Q351">
            <v>624</v>
          </cell>
          <cell r="R351">
            <v>531</v>
          </cell>
          <cell r="S351">
            <v>463</v>
          </cell>
          <cell r="T351">
            <v>395</v>
          </cell>
          <cell r="U351">
            <v>278</v>
          </cell>
          <cell r="V351">
            <v>161</v>
          </cell>
          <cell r="W351">
            <v>646</v>
          </cell>
          <cell r="X351">
            <v>573</v>
          </cell>
          <cell r="Y351">
            <v>476</v>
          </cell>
          <cell r="Z351">
            <v>411</v>
          </cell>
          <cell r="AA351">
            <v>345</v>
          </cell>
          <cell r="AB351">
            <v>242</v>
          </cell>
          <cell r="AC351">
            <v>138</v>
          </cell>
        </row>
        <row r="352">
          <cell r="A352" t="str">
            <v>7-14-25</v>
          </cell>
          <cell r="B352">
            <v>834</v>
          </cell>
          <cell r="C352">
            <v>741</v>
          </cell>
          <cell r="D352">
            <v>596</v>
          </cell>
          <cell r="E352">
            <v>508</v>
          </cell>
          <cell r="F352">
            <v>419</v>
          </cell>
          <cell r="G352">
            <v>288</v>
          </cell>
          <cell r="H352">
            <v>156</v>
          </cell>
          <cell r="I352">
            <v>834</v>
          </cell>
          <cell r="J352">
            <v>741</v>
          </cell>
          <cell r="K352">
            <v>596</v>
          </cell>
          <cell r="L352">
            <v>508</v>
          </cell>
          <cell r="M352">
            <v>419</v>
          </cell>
          <cell r="N352">
            <v>288</v>
          </cell>
          <cell r="O352">
            <v>156</v>
          </cell>
          <cell r="P352">
            <v>625</v>
          </cell>
          <cell r="Q352">
            <v>567</v>
          </cell>
          <cell r="R352">
            <v>467</v>
          </cell>
          <cell r="S352">
            <v>404</v>
          </cell>
          <cell r="T352">
            <v>340</v>
          </cell>
          <cell r="U352">
            <v>238</v>
          </cell>
          <cell r="V352">
            <v>136</v>
          </cell>
          <cell r="W352">
            <v>625</v>
          </cell>
          <cell r="X352">
            <v>567</v>
          </cell>
          <cell r="Y352">
            <v>467</v>
          </cell>
          <cell r="Z352">
            <v>404</v>
          </cell>
          <cell r="AA352">
            <v>340</v>
          </cell>
          <cell r="AB352">
            <v>238</v>
          </cell>
          <cell r="AC352">
            <v>136</v>
          </cell>
        </row>
        <row r="353">
          <cell r="A353" t="str">
            <v>7-15-25</v>
          </cell>
          <cell r="B353">
            <v>780</v>
          </cell>
          <cell r="C353">
            <v>695</v>
          </cell>
          <cell r="D353">
            <v>564</v>
          </cell>
          <cell r="E353">
            <v>480</v>
          </cell>
          <cell r="F353">
            <v>396</v>
          </cell>
          <cell r="G353">
            <v>271</v>
          </cell>
          <cell r="H353">
            <v>146</v>
          </cell>
          <cell r="I353">
            <v>780</v>
          </cell>
          <cell r="J353">
            <v>695</v>
          </cell>
          <cell r="K353">
            <v>564</v>
          </cell>
          <cell r="L353">
            <v>480</v>
          </cell>
          <cell r="M353">
            <v>396</v>
          </cell>
          <cell r="N353">
            <v>271</v>
          </cell>
          <cell r="O353">
            <v>146</v>
          </cell>
          <cell r="P353">
            <v>585</v>
          </cell>
          <cell r="Q353">
            <v>532</v>
          </cell>
          <cell r="R353">
            <v>441</v>
          </cell>
          <cell r="S353">
            <v>382</v>
          </cell>
          <cell r="T353">
            <v>322</v>
          </cell>
          <cell r="U353">
            <v>225</v>
          </cell>
          <cell r="V353">
            <v>128</v>
          </cell>
          <cell r="W353">
            <v>585</v>
          </cell>
          <cell r="X353">
            <v>532</v>
          </cell>
          <cell r="Y353">
            <v>441</v>
          </cell>
          <cell r="Z353">
            <v>382</v>
          </cell>
          <cell r="AA353">
            <v>322</v>
          </cell>
          <cell r="AB353">
            <v>225</v>
          </cell>
          <cell r="AC353">
            <v>128</v>
          </cell>
        </row>
        <row r="354">
          <cell r="A354" t="str">
            <v>8-10-25</v>
          </cell>
          <cell r="B354">
            <v>1320</v>
          </cell>
          <cell r="C354">
            <v>1159</v>
          </cell>
          <cell r="D354">
            <v>946</v>
          </cell>
          <cell r="E354">
            <v>807</v>
          </cell>
          <cell r="F354">
            <v>667</v>
          </cell>
          <cell r="G354">
            <v>460</v>
          </cell>
          <cell r="H354">
            <v>253</v>
          </cell>
          <cell r="I354">
            <v>1009</v>
          </cell>
          <cell r="J354">
            <v>875</v>
          </cell>
          <cell r="K354">
            <v>705</v>
          </cell>
          <cell r="L354">
            <v>598</v>
          </cell>
          <cell r="M354">
            <v>491</v>
          </cell>
          <cell r="N354">
            <v>338</v>
          </cell>
          <cell r="O354">
            <v>184</v>
          </cell>
          <cell r="P354">
            <v>989</v>
          </cell>
          <cell r="Q354">
            <v>887</v>
          </cell>
          <cell r="R354">
            <v>740</v>
          </cell>
          <cell r="S354">
            <v>641</v>
          </cell>
          <cell r="T354">
            <v>542</v>
          </cell>
          <cell r="U354">
            <v>381</v>
          </cell>
          <cell r="V354">
            <v>220</v>
          </cell>
          <cell r="W354">
            <v>756</v>
          </cell>
          <cell r="X354">
            <v>670</v>
          </cell>
          <cell r="Y354">
            <v>551</v>
          </cell>
          <cell r="Z354">
            <v>475</v>
          </cell>
          <cell r="AA354">
            <v>399</v>
          </cell>
          <cell r="AB354">
            <v>280</v>
          </cell>
          <cell r="AC354">
            <v>160</v>
          </cell>
        </row>
        <row r="355">
          <cell r="A355" t="str">
            <v>8-11-25</v>
          </cell>
          <cell r="B355">
            <v>1190</v>
          </cell>
          <cell r="C355">
            <v>1050</v>
          </cell>
          <cell r="D355">
            <v>860</v>
          </cell>
          <cell r="E355">
            <v>735</v>
          </cell>
          <cell r="F355">
            <v>610</v>
          </cell>
          <cell r="G355">
            <v>421</v>
          </cell>
          <cell r="H355">
            <v>231</v>
          </cell>
          <cell r="I355">
            <v>959</v>
          </cell>
          <cell r="J355">
            <v>835</v>
          </cell>
          <cell r="K355">
            <v>673</v>
          </cell>
          <cell r="L355">
            <v>571</v>
          </cell>
          <cell r="M355">
            <v>468</v>
          </cell>
          <cell r="N355">
            <v>322</v>
          </cell>
          <cell r="O355">
            <v>175</v>
          </cell>
          <cell r="P355">
            <v>892</v>
          </cell>
          <cell r="Q355">
            <v>803</v>
          </cell>
          <cell r="R355">
            <v>673</v>
          </cell>
          <cell r="S355">
            <v>585</v>
          </cell>
          <cell r="T355">
            <v>496</v>
          </cell>
          <cell r="U355">
            <v>349</v>
          </cell>
          <cell r="V355">
            <v>202</v>
          </cell>
          <cell r="W355">
            <v>719</v>
          </cell>
          <cell r="X355">
            <v>638</v>
          </cell>
          <cell r="Y355">
            <v>526</v>
          </cell>
          <cell r="Z355">
            <v>454</v>
          </cell>
          <cell r="AA355">
            <v>381</v>
          </cell>
          <cell r="AB355">
            <v>267</v>
          </cell>
          <cell r="AC355">
            <v>153</v>
          </cell>
        </row>
        <row r="356">
          <cell r="A356" t="str">
            <v>8-12-25</v>
          </cell>
          <cell r="B356">
            <v>1062</v>
          </cell>
          <cell r="C356">
            <v>936</v>
          </cell>
          <cell r="D356">
            <v>773</v>
          </cell>
          <cell r="E356">
            <v>662</v>
          </cell>
          <cell r="F356">
            <v>550</v>
          </cell>
          <cell r="G356">
            <v>380</v>
          </cell>
          <cell r="H356">
            <v>209</v>
          </cell>
          <cell r="I356">
            <v>915</v>
          </cell>
          <cell r="J356">
            <v>792</v>
          </cell>
          <cell r="K356">
            <v>642</v>
          </cell>
          <cell r="L356">
            <v>545</v>
          </cell>
          <cell r="M356">
            <v>447</v>
          </cell>
          <cell r="N356">
            <v>307</v>
          </cell>
          <cell r="O356">
            <v>167</v>
          </cell>
          <cell r="P356">
            <v>796</v>
          </cell>
          <cell r="Q356">
            <v>716</v>
          </cell>
          <cell r="R356">
            <v>605</v>
          </cell>
          <cell r="S356">
            <v>526</v>
          </cell>
          <cell r="T356">
            <v>447</v>
          </cell>
          <cell r="U356">
            <v>315</v>
          </cell>
          <cell r="V356">
            <v>182</v>
          </cell>
          <cell r="W356">
            <v>686</v>
          </cell>
          <cell r="X356">
            <v>606</v>
          </cell>
          <cell r="Y356">
            <v>502</v>
          </cell>
          <cell r="Z356">
            <v>433</v>
          </cell>
          <cell r="AA356">
            <v>364</v>
          </cell>
          <cell r="AB356">
            <v>255</v>
          </cell>
          <cell r="AC356">
            <v>145</v>
          </cell>
        </row>
        <row r="357">
          <cell r="A357" t="str">
            <v>8-13-25</v>
          </cell>
          <cell r="B357">
            <v>915</v>
          </cell>
          <cell r="C357">
            <v>811</v>
          </cell>
          <cell r="D357">
            <v>674</v>
          </cell>
          <cell r="E357">
            <v>579</v>
          </cell>
          <cell r="F357">
            <v>483</v>
          </cell>
          <cell r="G357">
            <v>334</v>
          </cell>
          <cell r="H357">
            <v>185</v>
          </cell>
          <cell r="I357">
            <v>861</v>
          </cell>
          <cell r="J357">
            <v>747</v>
          </cell>
          <cell r="K357">
            <v>606</v>
          </cell>
          <cell r="L357">
            <v>515</v>
          </cell>
          <cell r="M357">
            <v>424</v>
          </cell>
          <cell r="N357">
            <v>291</v>
          </cell>
          <cell r="O357">
            <v>158</v>
          </cell>
          <cell r="P357">
            <v>686</v>
          </cell>
          <cell r="Q357">
            <v>621</v>
          </cell>
          <cell r="R357">
            <v>528</v>
          </cell>
          <cell r="S357">
            <v>460</v>
          </cell>
          <cell r="T357">
            <v>392</v>
          </cell>
          <cell r="U357">
            <v>277</v>
          </cell>
          <cell r="V357">
            <v>161</v>
          </cell>
          <cell r="W357">
            <v>645</v>
          </cell>
          <cell r="X357">
            <v>572</v>
          </cell>
          <cell r="Y357">
            <v>475</v>
          </cell>
          <cell r="Z357">
            <v>410</v>
          </cell>
          <cell r="AA357">
            <v>344</v>
          </cell>
          <cell r="AB357">
            <v>241</v>
          </cell>
          <cell r="AC357">
            <v>138</v>
          </cell>
        </row>
        <row r="358">
          <cell r="A358" t="str">
            <v>8-14-25</v>
          </cell>
          <cell r="B358">
            <v>828</v>
          </cell>
          <cell r="C358">
            <v>734</v>
          </cell>
          <cell r="D358">
            <v>591</v>
          </cell>
          <cell r="E358">
            <v>503</v>
          </cell>
          <cell r="F358">
            <v>415</v>
          </cell>
          <cell r="G358">
            <v>284</v>
          </cell>
          <cell r="H358">
            <v>153</v>
          </cell>
          <cell r="I358">
            <v>828</v>
          </cell>
          <cell r="J358">
            <v>734</v>
          </cell>
          <cell r="K358">
            <v>591</v>
          </cell>
          <cell r="L358">
            <v>503</v>
          </cell>
          <cell r="M358">
            <v>415</v>
          </cell>
          <cell r="N358">
            <v>284</v>
          </cell>
          <cell r="O358">
            <v>153</v>
          </cell>
          <cell r="P358">
            <v>621</v>
          </cell>
          <cell r="Q358">
            <v>561</v>
          </cell>
          <cell r="R358">
            <v>463</v>
          </cell>
          <cell r="S358">
            <v>400</v>
          </cell>
          <cell r="T358">
            <v>337</v>
          </cell>
          <cell r="U358">
            <v>235</v>
          </cell>
          <cell r="V358">
            <v>133</v>
          </cell>
          <cell r="W358">
            <v>621</v>
          </cell>
          <cell r="X358">
            <v>561</v>
          </cell>
          <cell r="Y358">
            <v>463</v>
          </cell>
          <cell r="Z358">
            <v>400</v>
          </cell>
          <cell r="AA358">
            <v>337</v>
          </cell>
          <cell r="AB358">
            <v>235</v>
          </cell>
          <cell r="AC358">
            <v>133</v>
          </cell>
        </row>
        <row r="359">
          <cell r="A359" t="str">
            <v>8-15-25</v>
          </cell>
          <cell r="B359">
            <v>775</v>
          </cell>
          <cell r="C359">
            <v>690</v>
          </cell>
          <cell r="D359">
            <v>559</v>
          </cell>
          <cell r="E359">
            <v>477</v>
          </cell>
          <cell r="F359">
            <v>394</v>
          </cell>
          <cell r="G359">
            <v>270</v>
          </cell>
          <cell r="H359">
            <v>146</v>
          </cell>
          <cell r="I359">
            <v>775</v>
          </cell>
          <cell r="J359">
            <v>690</v>
          </cell>
          <cell r="K359">
            <v>559</v>
          </cell>
          <cell r="L359">
            <v>477</v>
          </cell>
          <cell r="M359">
            <v>394</v>
          </cell>
          <cell r="N359">
            <v>270</v>
          </cell>
          <cell r="O359">
            <v>146</v>
          </cell>
          <cell r="P359">
            <v>581</v>
          </cell>
          <cell r="Q359">
            <v>528</v>
          </cell>
          <cell r="R359">
            <v>437</v>
          </cell>
          <cell r="S359">
            <v>379</v>
          </cell>
          <cell r="T359">
            <v>320</v>
          </cell>
          <cell r="U359">
            <v>224</v>
          </cell>
          <cell r="V359">
            <v>128</v>
          </cell>
          <cell r="W359">
            <v>581</v>
          </cell>
          <cell r="X359">
            <v>528</v>
          </cell>
          <cell r="Y359">
            <v>437</v>
          </cell>
          <cell r="Z359">
            <v>379</v>
          </cell>
          <cell r="AA359">
            <v>320</v>
          </cell>
          <cell r="AB359">
            <v>224</v>
          </cell>
          <cell r="AC359">
            <v>128</v>
          </cell>
        </row>
        <row r="360">
          <cell r="A360" t="str">
            <v>8-16-25</v>
          </cell>
          <cell r="B360">
            <v>718</v>
          </cell>
          <cell r="C360">
            <v>641</v>
          </cell>
          <cell r="D360">
            <v>528</v>
          </cell>
          <cell r="E360">
            <v>451</v>
          </cell>
          <cell r="F360">
            <v>374</v>
          </cell>
          <cell r="G360">
            <v>255</v>
          </cell>
          <cell r="H360">
            <v>136</v>
          </cell>
          <cell r="I360">
            <v>718</v>
          </cell>
          <cell r="J360">
            <v>641</v>
          </cell>
          <cell r="K360">
            <v>528</v>
          </cell>
          <cell r="L360">
            <v>451</v>
          </cell>
          <cell r="M360">
            <v>374</v>
          </cell>
          <cell r="N360">
            <v>255</v>
          </cell>
          <cell r="O360">
            <v>136</v>
          </cell>
          <cell r="P360">
            <v>538</v>
          </cell>
          <cell r="Q360">
            <v>491</v>
          </cell>
          <cell r="R360">
            <v>413</v>
          </cell>
          <cell r="S360">
            <v>359</v>
          </cell>
          <cell r="T360">
            <v>304</v>
          </cell>
          <cell r="U360">
            <v>211</v>
          </cell>
          <cell r="V360">
            <v>118</v>
          </cell>
          <cell r="W360">
            <v>538</v>
          </cell>
          <cell r="X360">
            <v>491</v>
          </cell>
          <cell r="Y360">
            <v>413</v>
          </cell>
          <cell r="Z360">
            <v>359</v>
          </cell>
          <cell r="AA360">
            <v>304</v>
          </cell>
          <cell r="AB360">
            <v>211</v>
          </cell>
          <cell r="AC360">
            <v>118</v>
          </cell>
        </row>
        <row r="361">
          <cell r="A361" t="str">
            <v>9-11-25</v>
          </cell>
          <cell r="B361">
            <v>1183</v>
          </cell>
          <cell r="C361">
            <v>1043</v>
          </cell>
          <cell r="D361">
            <v>853</v>
          </cell>
          <cell r="E361">
            <v>728</v>
          </cell>
          <cell r="F361">
            <v>603</v>
          </cell>
          <cell r="G361">
            <v>416</v>
          </cell>
          <cell r="H361">
            <v>228</v>
          </cell>
          <cell r="I361">
            <v>956</v>
          </cell>
          <cell r="J361">
            <v>831</v>
          </cell>
          <cell r="K361">
            <v>670</v>
          </cell>
          <cell r="L361">
            <v>568</v>
          </cell>
          <cell r="M361">
            <v>466</v>
          </cell>
          <cell r="N361">
            <v>320</v>
          </cell>
          <cell r="O361">
            <v>174</v>
          </cell>
          <cell r="P361">
            <v>887</v>
          </cell>
          <cell r="Q361">
            <v>798</v>
          </cell>
          <cell r="R361">
            <v>668</v>
          </cell>
          <cell r="S361">
            <v>579</v>
          </cell>
          <cell r="T361">
            <v>490</v>
          </cell>
          <cell r="U361">
            <v>345</v>
          </cell>
          <cell r="V361">
            <v>199</v>
          </cell>
          <cell r="W361">
            <v>717</v>
          </cell>
          <cell r="X361">
            <v>636</v>
          </cell>
          <cell r="Y361">
            <v>525</v>
          </cell>
          <cell r="Z361">
            <v>452</v>
          </cell>
          <cell r="AA361">
            <v>379</v>
          </cell>
          <cell r="AB361">
            <v>266</v>
          </cell>
          <cell r="AC361">
            <v>152</v>
          </cell>
        </row>
        <row r="362">
          <cell r="A362" t="str">
            <v>9-12-25</v>
          </cell>
          <cell r="B362">
            <v>1055</v>
          </cell>
          <cell r="C362">
            <v>927</v>
          </cell>
          <cell r="D362">
            <v>764</v>
          </cell>
          <cell r="E362">
            <v>654</v>
          </cell>
          <cell r="F362">
            <v>544</v>
          </cell>
          <cell r="G362">
            <v>375</v>
          </cell>
          <cell r="H362">
            <v>206</v>
          </cell>
          <cell r="I362">
            <v>912</v>
          </cell>
          <cell r="J362">
            <v>788</v>
          </cell>
          <cell r="K362">
            <v>637</v>
          </cell>
          <cell r="L362">
            <v>541</v>
          </cell>
          <cell r="M362">
            <v>445</v>
          </cell>
          <cell r="N362">
            <v>305</v>
          </cell>
          <cell r="O362">
            <v>165</v>
          </cell>
          <cell r="P362">
            <v>791</v>
          </cell>
          <cell r="Q362">
            <v>710</v>
          </cell>
          <cell r="R362">
            <v>598</v>
          </cell>
          <cell r="S362">
            <v>520</v>
          </cell>
          <cell r="T362">
            <v>442</v>
          </cell>
          <cell r="U362">
            <v>311</v>
          </cell>
          <cell r="V362">
            <v>179</v>
          </cell>
          <cell r="W362">
            <v>684</v>
          </cell>
          <cell r="X362">
            <v>604</v>
          </cell>
          <cell r="Y362">
            <v>499</v>
          </cell>
          <cell r="Z362">
            <v>431</v>
          </cell>
          <cell r="AA362">
            <v>362</v>
          </cell>
          <cell r="AB362">
            <v>253</v>
          </cell>
          <cell r="AC362">
            <v>143</v>
          </cell>
        </row>
        <row r="363">
          <cell r="A363" t="str">
            <v>9-13-25</v>
          </cell>
          <cell r="B363">
            <v>909</v>
          </cell>
          <cell r="C363">
            <v>807</v>
          </cell>
          <cell r="D363">
            <v>670</v>
          </cell>
          <cell r="E363">
            <v>575</v>
          </cell>
          <cell r="F363">
            <v>479</v>
          </cell>
          <cell r="G363">
            <v>330</v>
          </cell>
          <cell r="H363">
            <v>181</v>
          </cell>
          <cell r="I363">
            <v>859</v>
          </cell>
          <cell r="J363">
            <v>745</v>
          </cell>
          <cell r="K363">
            <v>605</v>
          </cell>
          <cell r="L363">
            <v>514</v>
          </cell>
          <cell r="M363">
            <v>423</v>
          </cell>
          <cell r="N363">
            <v>289</v>
          </cell>
          <cell r="O363">
            <v>155</v>
          </cell>
          <cell r="P363">
            <v>682</v>
          </cell>
          <cell r="Q363">
            <v>617</v>
          </cell>
          <cell r="R363">
            <v>524</v>
          </cell>
          <cell r="S363">
            <v>457</v>
          </cell>
          <cell r="T363">
            <v>389</v>
          </cell>
          <cell r="U363">
            <v>274</v>
          </cell>
          <cell r="V363">
            <v>158</v>
          </cell>
          <cell r="W363">
            <v>645</v>
          </cell>
          <cell r="X363">
            <v>570</v>
          </cell>
          <cell r="Y363">
            <v>474</v>
          </cell>
          <cell r="Z363">
            <v>409</v>
          </cell>
          <cell r="AA363">
            <v>343</v>
          </cell>
          <cell r="AB363">
            <v>240</v>
          </cell>
          <cell r="AC363">
            <v>136</v>
          </cell>
        </row>
        <row r="364">
          <cell r="A364" t="str">
            <v>9-14-25</v>
          </cell>
          <cell r="B364">
            <v>821</v>
          </cell>
          <cell r="C364">
            <v>728</v>
          </cell>
          <cell r="D364">
            <v>586</v>
          </cell>
          <cell r="E364">
            <v>498</v>
          </cell>
          <cell r="F364">
            <v>410</v>
          </cell>
          <cell r="G364">
            <v>281</v>
          </cell>
          <cell r="H364">
            <v>151</v>
          </cell>
          <cell r="I364">
            <v>821</v>
          </cell>
          <cell r="J364">
            <v>728</v>
          </cell>
          <cell r="K364">
            <v>586</v>
          </cell>
          <cell r="L364">
            <v>498</v>
          </cell>
          <cell r="M364">
            <v>410</v>
          </cell>
          <cell r="N364">
            <v>281</v>
          </cell>
          <cell r="O364">
            <v>151</v>
          </cell>
          <cell r="P364">
            <v>616</v>
          </cell>
          <cell r="Q364">
            <v>557</v>
          </cell>
          <cell r="R364">
            <v>458</v>
          </cell>
          <cell r="S364">
            <v>396</v>
          </cell>
          <cell r="T364">
            <v>333</v>
          </cell>
          <cell r="U364">
            <v>233</v>
          </cell>
          <cell r="V364">
            <v>132</v>
          </cell>
          <cell r="W364">
            <v>616</v>
          </cell>
          <cell r="X364">
            <v>557</v>
          </cell>
          <cell r="Y364">
            <v>458</v>
          </cell>
          <cell r="Z364">
            <v>396</v>
          </cell>
          <cell r="AA364">
            <v>333</v>
          </cell>
          <cell r="AB364">
            <v>233</v>
          </cell>
          <cell r="AC364">
            <v>132</v>
          </cell>
        </row>
        <row r="365">
          <cell r="A365" t="str">
            <v>9-15-25</v>
          </cell>
          <cell r="B365">
            <v>768</v>
          </cell>
          <cell r="C365">
            <v>682</v>
          </cell>
          <cell r="D365">
            <v>554</v>
          </cell>
          <cell r="E365">
            <v>472</v>
          </cell>
          <cell r="F365">
            <v>389</v>
          </cell>
          <cell r="G365">
            <v>266</v>
          </cell>
          <cell r="H365">
            <v>143</v>
          </cell>
          <cell r="I365">
            <v>768</v>
          </cell>
          <cell r="J365">
            <v>682</v>
          </cell>
          <cell r="K365">
            <v>554</v>
          </cell>
          <cell r="L365">
            <v>472</v>
          </cell>
          <cell r="M365">
            <v>389</v>
          </cell>
          <cell r="N365">
            <v>266</v>
          </cell>
          <cell r="O365">
            <v>143</v>
          </cell>
          <cell r="P365">
            <v>575</v>
          </cell>
          <cell r="Q365">
            <v>522</v>
          </cell>
          <cell r="R365">
            <v>434</v>
          </cell>
          <cell r="S365">
            <v>375</v>
          </cell>
          <cell r="T365">
            <v>316</v>
          </cell>
          <cell r="U365">
            <v>221</v>
          </cell>
          <cell r="V365">
            <v>125</v>
          </cell>
          <cell r="W365">
            <v>575</v>
          </cell>
          <cell r="X365">
            <v>522</v>
          </cell>
          <cell r="Y365">
            <v>434</v>
          </cell>
          <cell r="Z365">
            <v>375</v>
          </cell>
          <cell r="AA365">
            <v>316</v>
          </cell>
          <cell r="AB365">
            <v>221</v>
          </cell>
          <cell r="AC365">
            <v>125</v>
          </cell>
        </row>
        <row r="366">
          <cell r="A366" t="str">
            <v>9-16-25</v>
          </cell>
          <cell r="B366">
            <v>713</v>
          </cell>
          <cell r="C366">
            <v>637</v>
          </cell>
          <cell r="D366">
            <v>525</v>
          </cell>
          <cell r="E366">
            <v>446</v>
          </cell>
          <cell r="F366">
            <v>367</v>
          </cell>
          <cell r="G366">
            <v>252</v>
          </cell>
          <cell r="H366">
            <v>136</v>
          </cell>
          <cell r="I366">
            <v>713</v>
          </cell>
          <cell r="J366">
            <v>637</v>
          </cell>
          <cell r="K366">
            <v>525</v>
          </cell>
          <cell r="L366">
            <v>446</v>
          </cell>
          <cell r="M366">
            <v>367</v>
          </cell>
          <cell r="N366">
            <v>252</v>
          </cell>
          <cell r="O366">
            <v>136</v>
          </cell>
          <cell r="P366">
            <v>535</v>
          </cell>
          <cell r="Q366">
            <v>487</v>
          </cell>
          <cell r="R366">
            <v>411</v>
          </cell>
          <cell r="S366">
            <v>355</v>
          </cell>
          <cell r="T366">
            <v>298</v>
          </cell>
          <cell r="U366">
            <v>208</v>
          </cell>
          <cell r="V366">
            <v>118</v>
          </cell>
          <cell r="W366">
            <v>535</v>
          </cell>
          <cell r="X366">
            <v>487</v>
          </cell>
          <cell r="Y366">
            <v>411</v>
          </cell>
          <cell r="Z366">
            <v>355</v>
          </cell>
          <cell r="AA366">
            <v>298</v>
          </cell>
          <cell r="AB366">
            <v>208</v>
          </cell>
          <cell r="AC366">
            <v>118</v>
          </cell>
        </row>
        <row r="367">
          <cell r="A367" t="str">
            <v>9-17-25</v>
          </cell>
          <cell r="B367">
            <v>654</v>
          </cell>
          <cell r="C367">
            <v>587</v>
          </cell>
          <cell r="D367">
            <v>485</v>
          </cell>
          <cell r="E367">
            <v>414</v>
          </cell>
          <cell r="F367">
            <v>343</v>
          </cell>
          <cell r="G367">
            <v>234</v>
          </cell>
          <cell r="H367">
            <v>124</v>
          </cell>
          <cell r="I367">
            <v>654</v>
          </cell>
          <cell r="J367">
            <v>587</v>
          </cell>
          <cell r="K367">
            <v>485</v>
          </cell>
          <cell r="L367">
            <v>414</v>
          </cell>
          <cell r="M367">
            <v>343</v>
          </cell>
          <cell r="N367">
            <v>234</v>
          </cell>
          <cell r="O367">
            <v>124</v>
          </cell>
          <cell r="P367">
            <v>490</v>
          </cell>
          <cell r="Q367">
            <v>449</v>
          </cell>
          <cell r="R367">
            <v>379</v>
          </cell>
          <cell r="S367">
            <v>329</v>
          </cell>
          <cell r="T367">
            <v>279</v>
          </cell>
          <cell r="U367">
            <v>194</v>
          </cell>
          <cell r="V367">
            <v>108</v>
          </cell>
          <cell r="W367">
            <v>490</v>
          </cell>
          <cell r="X367">
            <v>449</v>
          </cell>
          <cell r="Y367">
            <v>379</v>
          </cell>
          <cell r="Z367">
            <v>329</v>
          </cell>
          <cell r="AA367">
            <v>279</v>
          </cell>
          <cell r="AB367">
            <v>194</v>
          </cell>
          <cell r="AC367">
            <v>108</v>
          </cell>
        </row>
        <row r="368">
          <cell r="A368" t="str">
            <v>10-12-25</v>
          </cell>
          <cell r="B368">
            <v>1046</v>
          </cell>
          <cell r="C368">
            <v>918</v>
          </cell>
          <cell r="D368">
            <v>754</v>
          </cell>
          <cell r="E368">
            <v>645</v>
          </cell>
          <cell r="F368">
            <v>535</v>
          </cell>
          <cell r="G368">
            <v>368</v>
          </cell>
          <cell r="H368">
            <v>201</v>
          </cell>
          <cell r="I368">
            <v>909</v>
          </cell>
          <cell r="J368">
            <v>785</v>
          </cell>
          <cell r="K368">
            <v>635</v>
          </cell>
          <cell r="L368">
            <v>539</v>
          </cell>
          <cell r="M368">
            <v>442</v>
          </cell>
          <cell r="N368">
            <v>303</v>
          </cell>
          <cell r="O368">
            <v>163</v>
          </cell>
          <cell r="P368">
            <v>784</v>
          </cell>
          <cell r="Q368">
            <v>703</v>
          </cell>
          <cell r="R368">
            <v>591</v>
          </cell>
          <cell r="S368">
            <v>513</v>
          </cell>
          <cell r="T368">
            <v>435</v>
          </cell>
          <cell r="U368">
            <v>305</v>
          </cell>
          <cell r="V368">
            <v>175</v>
          </cell>
          <cell r="W368">
            <v>682</v>
          </cell>
          <cell r="X368">
            <v>601</v>
          </cell>
          <cell r="Y368">
            <v>498</v>
          </cell>
          <cell r="Z368">
            <v>429</v>
          </cell>
          <cell r="AA368">
            <v>360</v>
          </cell>
          <cell r="AB368">
            <v>251</v>
          </cell>
          <cell r="AC368">
            <v>142</v>
          </cell>
        </row>
        <row r="369">
          <cell r="A369" t="str">
            <v>10-13-25</v>
          </cell>
          <cell r="B369">
            <v>902</v>
          </cell>
          <cell r="C369">
            <v>797</v>
          </cell>
          <cell r="D369">
            <v>661</v>
          </cell>
          <cell r="E369">
            <v>567</v>
          </cell>
          <cell r="F369">
            <v>473</v>
          </cell>
          <cell r="G369">
            <v>326</v>
          </cell>
          <cell r="H369">
            <v>178</v>
          </cell>
          <cell r="I369">
            <v>856</v>
          </cell>
          <cell r="J369">
            <v>742</v>
          </cell>
          <cell r="K369">
            <v>603</v>
          </cell>
          <cell r="L369">
            <v>513</v>
          </cell>
          <cell r="M369">
            <v>422</v>
          </cell>
          <cell r="N369">
            <v>289</v>
          </cell>
          <cell r="O369">
            <v>155</v>
          </cell>
          <cell r="P369">
            <v>676</v>
          </cell>
          <cell r="Q369">
            <v>610</v>
          </cell>
          <cell r="R369">
            <v>517</v>
          </cell>
          <cell r="S369">
            <v>451</v>
          </cell>
          <cell r="T369">
            <v>384</v>
          </cell>
          <cell r="U369">
            <v>270</v>
          </cell>
          <cell r="V369">
            <v>155</v>
          </cell>
          <cell r="W369">
            <v>642</v>
          </cell>
          <cell r="X369">
            <v>568</v>
          </cell>
          <cell r="Y369">
            <v>471</v>
          </cell>
          <cell r="Z369">
            <v>407</v>
          </cell>
          <cell r="AA369">
            <v>342</v>
          </cell>
          <cell r="AB369">
            <v>239</v>
          </cell>
          <cell r="AC369">
            <v>135</v>
          </cell>
        </row>
        <row r="370">
          <cell r="A370" t="str">
            <v>10-14-25</v>
          </cell>
          <cell r="B370">
            <v>814</v>
          </cell>
          <cell r="C370">
            <v>721</v>
          </cell>
          <cell r="D370">
            <v>581</v>
          </cell>
          <cell r="E370">
            <v>494</v>
          </cell>
          <cell r="F370">
            <v>406</v>
          </cell>
          <cell r="G370">
            <v>278</v>
          </cell>
          <cell r="H370">
            <v>150</v>
          </cell>
          <cell r="I370">
            <v>814</v>
          </cell>
          <cell r="J370">
            <v>721</v>
          </cell>
          <cell r="K370">
            <v>581</v>
          </cell>
          <cell r="L370">
            <v>494</v>
          </cell>
          <cell r="M370">
            <v>406</v>
          </cell>
          <cell r="N370">
            <v>278</v>
          </cell>
          <cell r="O370">
            <v>150</v>
          </cell>
          <cell r="P370">
            <v>610</v>
          </cell>
          <cell r="Q370">
            <v>552</v>
          </cell>
          <cell r="R370">
            <v>455</v>
          </cell>
          <cell r="S370">
            <v>393</v>
          </cell>
          <cell r="T370">
            <v>330</v>
          </cell>
          <cell r="U370">
            <v>230</v>
          </cell>
          <cell r="V370">
            <v>130</v>
          </cell>
          <cell r="W370">
            <v>610</v>
          </cell>
          <cell r="X370">
            <v>552</v>
          </cell>
          <cell r="Y370">
            <v>455</v>
          </cell>
          <cell r="Z370">
            <v>393</v>
          </cell>
          <cell r="AA370">
            <v>330</v>
          </cell>
          <cell r="AB370">
            <v>230</v>
          </cell>
          <cell r="AC370">
            <v>130</v>
          </cell>
        </row>
        <row r="371">
          <cell r="A371" t="str">
            <v>10-15-25</v>
          </cell>
          <cell r="B371">
            <v>761</v>
          </cell>
          <cell r="C371">
            <v>677</v>
          </cell>
          <cell r="D371">
            <v>548</v>
          </cell>
          <cell r="E371">
            <v>467</v>
          </cell>
          <cell r="F371">
            <v>385</v>
          </cell>
          <cell r="G371">
            <v>263</v>
          </cell>
          <cell r="H371">
            <v>141</v>
          </cell>
          <cell r="I371">
            <v>761</v>
          </cell>
          <cell r="J371">
            <v>677</v>
          </cell>
          <cell r="K371">
            <v>548</v>
          </cell>
          <cell r="L371">
            <v>467</v>
          </cell>
          <cell r="M371">
            <v>385</v>
          </cell>
          <cell r="N371">
            <v>263</v>
          </cell>
          <cell r="O371">
            <v>141</v>
          </cell>
          <cell r="P371">
            <v>570</v>
          </cell>
          <cell r="Q371">
            <v>518</v>
          </cell>
          <cell r="R371">
            <v>429</v>
          </cell>
          <cell r="S371">
            <v>371</v>
          </cell>
          <cell r="T371">
            <v>313</v>
          </cell>
          <cell r="U371">
            <v>218</v>
          </cell>
          <cell r="V371">
            <v>123</v>
          </cell>
          <cell r="W371">
            <v>570</v>
          </cell>
          <cell r="X371">
            <v>518</v>
          </cell>
          <cell r="Y371">
            <v>429</v>
          </cell>
          <cell r="Z371">
            <v>371</v>
          </cell>
          <cell r="AA371">
            <v>313</v>
          </cell>
          <cell r="AB371">
            <v>218</v>
          </cell>
          <cell r="AC371">
            <v>123</v>
          </cell>
        </row>
        <row r="372">
          <cell r="A372" t="str">
            <v>10-16-25</v>
          </cell>
          <cell r="B372">
            <v>706</v>
          </cell>
          <cell r="C372">
            <v>630</v>
          </cell>
          <cell r="D372">
            <v>518</v>
          </cell>
          <cell r="E372">
            <v>441</v>
          </cell>
          <cell r="F372">
            <v>364</v>
          </cell>
          <cell r="G372">
            <v>250</v>
          </cell>
          <cell r="H372">
            <v>135</v>
          </cell>
          <cell r="I372">
            <v>706</v>
          </cell>
          <cell r="J372">
            <v>630</v>
          </cell>
          <cell r="K372">
            <v>518</v>
          </cell>
          <cell r="L372">
            <v>441</v>
          </cell>
          <cell r="M372">
            <v>364</v>
          </cell>
          <cell r="N372">
            <v>250</v>
          </cell>
          <cell r="O372">
            <v>135</v>
          </cell>
          <cell r="P372">
            <v>529</v>
          </cell>
          <cell r="Q372">
            <v>482</v>
          </cell>
          <cell r="R372">
            <v>406</v>
          </cell>
          <cell r="S372">
            <v>351</v>
          </cell>
          <cell r="T372">
            <v>295</v>
          </cell>
          <cell r="U372">
            <v>206</v>
          </cell>
          <cell r="V372">
            <v>117</v>
          </cell>
          <cell r="W372">
            <v>529</v>
          </cell>
          <cell r="X372">
            <v>482</v>
          </cell>
          <cell r="Y372">
            <v>406</v>
          </cell>
          <cell r="Z372">
            <v>351</v>
          </cell>
          <cell r="AA372">
            <v>295</v>
          </cell>
          <cell r="AB372">
            <v>206</v>
          </cell>
          <cell r="AC372">
            <v>117</v>
          </cell>
        </row>
        <row r="373">
          <cell r="A373" t="str">
            <v>10-17-25</v>
          </cell>
          <cell r="B373">
            <v>650</v>
          </cell>
          <cell r="C373">
            <v>582</v>
          </cell>
          <cell r="D373">
            <v>482</v>
          </cell>
          <cell r="E373">
            <v>413</v>
          </cell>
          <cell r="F373">
            <v>343</v>
          </cell>
          <cell r="G373">
            <v>234</v>
          </cell>
          <cell r="H373">
            <v>125</v>
          </cell>
          <cell r="I373">
            <v>650</v>
          </cell>
          <cell r="J373">
            <v>582</v>
          </cell>
          <cell r="K373">
            <v>482</v>
          </cell>
          <cell r="L373">
            <v>413</v>
          </cell>
          <cell r="M373">
            <v>343</v>
          </cell>
          <cell r="N373">
            <v>234</v>
          </cell>
          <cell r="O373">
            <v>125</v>
          </cell>
          <cell r="P373">
            <v>487</v>
          </cell>
          <cell r="Q373">
            <v>446</v>
          </cell>
          <cell r="R373">
            <v>377</v>
          </cell>
          <cell r="S373">
            <v>328</v>
          </cell>
          <cell r="T373">
            <v>279</v>
          </cell>
          <cell r="U373">
            <v>194</v>
          </cell>
          <cell r="V373">
            <v>109</v>
          </cell>
          <cell r="W373">
            <v>487</v>
          </cell>
          <cell r="X373">
            <v>446</v>
          </cell>
          <cell r="Y373">
            <v>377</v>
          </cell>
          <cell r="Z373">
            <v>328</v>
          </cell>
          <cell r="AA373">
            <v>279</v>
          </cell>
          <cell r="AB373">
            <v>194</v>
          </cell>
          <cell r="AC373">
            <v>109</v>
          </cell>
        </row>
        <row r="374">
          <cell r="A374" t="str">
            <v>10-18-25</v>
          </cell>
          <cell r="B374">
            <v>588</v>
          </cell>
          <cell r="C374">
            <v>530</v>
          </cell>
          <cell r="D374">
            <v>439</v>
          </cell>
          <cell r="E374">
            <v>376</v>
          </cell>
          <cell r="F374">
            <v>313</v>
          </cell>
          <cell r="G374">
            <v>213</v>
          </cell>
          <cell r="H374">
            <v>113</v>
          </cell>
          <cell r="I374">
            <v>588</v>
          </cell>
          <cell r="J374">
            <v>530</v>
          </cell>
          <cell r="K374">
            <v>439</v>
          </cell>
          <cell r="L374">
            <v>376</v>
          </cell>
          <cell r="M374">
            <v>313</v>
          </cell>
          <cell r="N374">
            <v>213</v>
          </cell>
          <cell r="O374">
            <v>113</v>
          </cell>
          <cell r="P374">
            <v>441</v>
          </cell>
          <cell r="Q374">
            <v>405</v>
          </cell>
          <cell r="R374">
            <v>344</v>
          </cell>
          <cell r="S374">
            <v>300</v>
          </cell>
          <cell r="T374">
            <v>255</v>
          </cell>
          <cell r="U374">
            <v>177</v>
          </cell>
          <cell r="V374">
            <v>99</v>
          </cell>
          <cell r="W374">
            <v>441</v>
          </cell>
          <cell r="X374">
            <v>405</v>
          </cell>
          <cell r="Y374">
            <v>344</v>
          </cell>
          <cell r="Z374">
            <v>300</v>
          </cell>
          <cell r="AA374">
            <v>255</v>
          </cell>
          <cell r="AB374">
            <v>177</v>
          </cell>
          <cell r="AC374">
            <v>99</v>
          </cell>
        </row>
        <row r="375">
          <cell r="A375" t="str">
            <v>11-13-25</v>
          </cell>
          <cell r="B375">
            <v>892</v>
          </cell>
          <cell r="C375">
            <v>787</v>
          </cell>
          <cell r="D375">
            <v>651</v>
          </cell>
          <cell r="E375">
            <v>558</v>
          </cell>
          <cell r="F375">
            <v>464</v>
          </cell>
          <cell r="G375">
            <v>319</v>
          </cell>
          <cell r="H375">
            <v>174</v>
          </cell>
          <cell r="I375">
            <v>853</v>
          </cell>
          <cell r="J375">
            <v>739</v>
          </cell>
          <cell r="K375">
            <v>599</v>
          </cell>
          <cell r="L375">
            <v>509</v>
          </cell>
          <cell r="M375">
            <v>418</v>
          </cell>
          <cell r="N375">
            <v>286</v>
          </cell>
          <cell r="O375">
            <v>153</v>
          </cell>
          <cell r="P375">
            <v>669</v>
          </cell>
          <cell r="Q375">
            <v>602</v>
          </cell>
          <cell r="R375">
            <v>510</v>
          </cell>
          <cell r="S375">
            <v>444</v>
          </cell>
          <cell r="T375">
            <v>377</v>
          </cell>
          <cell r="U375">
            <v>265</v>
          </cell>
          <cell r="V375">
            <v>152</v>
          </cell>
          <cell r="W375">
            <v>640</v>
          </cell>
          <cell r="X375">
            <v>565</v>
          </cell>
          <cell r="Y375">
            <v>469</v>
          </cell>
          <cell r="Z375">
            <v>404</v>
          </cell>
          <cell r="AA375">
            <v>339</v>
          </cell>
          <cell r="AB375">
            <v>237</v>
          </cell>
          <cell r="AC375">
            <v>134</v>
          </cell>
        </row>
        <row r="376">
          <cell r="A376" t="str">
            <v>11-14-25</v>
          </cell>
          <cell r="B376">
            <v>807</v>
          </cell>
          <cell r="C376">
            <v>713</v>
          </cell>
          <cell r="D376">
            <v>573</v>
          </cell>
          <cell r="E376">
            <v>487</v>
          </cell>
          <cell r="F376">
            <v>401</v>
          </cell>
          <cell r="G376">
            <v>275</v>
          </cell>
          <cell r="H376">
            <v>149</v>
          </cell>
          <cell r="I376">
            <v>807</v>
          </cell>
          <cell r="J376">
            <v>713</v>
          </cell>
          <cell r="K376">
            <v>573</v>
          </cell>
          <cell r="L376">
            <v>487</v>
          </cell>
          <cell r="M376">
            <v>401</v>
          </cell>
          <cell r="N376">
            <v>272</v>
          </cell>
          <cell r="O376">
            <v>142</v>
          </cell>
          <cell r="P376">
            <v>605</v>
          </cell>
          <cell r="Q376">
            <v>546</v>
          </cell>
          <cell r="R376">
            <v>449</v>
          </cell>
          <cell r="S376">
            <v>388</v>
          </cell>
          <cell r="T376">
            <v>326</v>
          </cell>
          <cell r="U376">
            <v>228</v>
          </cell>
          <cell r="V376">
            <v>130</v>
          </cell>
          <cell r="W376">
            <v>605</v>
          </cell>
          <cell r="X376">
            <v>546</v>
          </cell>
          <cell r="Y376">
            <v>449</v>
          </cell>
          <cell r="Z376">
            <v>388</v>
          </cell>
          <cell r="AA376">
            <v>326</v>
          </cell>
          <cell r="AB376">
            <v>225</v>
          </cell>
          <cell r="AC376">
            <v>124</v>
          </cell>
        </row>
        <row r="377">
          <cell r="A377" t="str">
            <v>11-15-25</v>
          </cell>
          <cell r="B377">
            <v>753</v>
          </cell>
          <cell r="C377">
            <v>669</v>
          </cell>
          <cell r="D377">
            <v>542</v>
          </cell>
          <cell r="E377">
            <v>461</v>
          </cell>
          <cell r="F377">
            <v>380</v>
          </cell>
          <cell r="G377">
            <v>260</v>
          </cell>
          <cell r="H377">
            <v>140</v>
          </cell>
          <cell r="I377">
            <v>753</v>
          </cell>
          <cell r="J377">
            <v>669</v>
          </cell>
          <cell r="K377">
            <v>542</v>
          </cell>
          <cell r="L377">
            <v>461</v>
          </cell>
          <cell r="M377">
            <v>380</v>
          </cell>
          <cell r="N377">
            <v>260</v>
          </cell>
          <cell r="O377">
            <v>140</v>
          </cell>
          <cell r="P377">
            <v>564</v>
          </cell>
          <cell r="Q377">
            <v>512</v>
          </cell>
          <cell r="R377">
            <v>424</v>
          </cell>
          <cell r="S377">
            <v>367</v>
          </cell>
          <cell r="T377">
            <v>309</v>
          </cell>
          <cell r="U377">
            <v>216</v>
          </cell>
          <cell r="V377">
            <v>122</v>
          </cell>
          <cell r="W377">
            <v>564</v>
          </cell>
          <cell r="X377">
            <v>512</v>
          </cell>
          <cell r="Y377">
            <v>424</v>
          </cell>
          <cell r="Z377">
            <v>367</v>
          </cell>
          <cell r="AA377">
            <v>309</v>
          </cell>
          <cell r="AB377">
            <v>216</v>
          </cell>
          <cell r="AC377">
            <v>122</v>
          </cell>
        </row>
        <row r="378">
          <cell r="A378" t="str">
            <v>11-16-25</v>
          </cell>
          <cell r="B378">
            <v>699</v>
          </cell>
          <cell r="C378">
            <v>623</v>
          </cell>
          <cell r="D378">
            <v>512</v>
          </cell>
          <cell r="E378">
            <v>435</v>
          </cell>
          <cell r="F378">
            <v>358</v>
          </cell>
          <cell r="G378">
            <v>246</v>
          </cell>
          <cell r="H378">
            <v>133</v>
          </cell>
          <cell r="I378">
            <v>699</v>
          </cell>
          <cell r="J378">
            <v>623</v>
          </cell>
          <cell r="K378">
            <v>512</v>
          </cell>
          <cell r="L378">
            <v>435</v>
          </cell>
          <cell r="M378">
            <v>358</v>
          </cell>
          <cell r="N378">
            <v>246</v>
          </cell>
          <cell r="O378">
            <v>133</v>
          </cell>
          <cell r="P378">
            <v>524</v>
          </cell>
          <cell r="Q378">
            <v>477</v>
          </cell>
          <cell r="R378">
            <v>401</v>
          </cell>
          <cell r="S378">
            <v>346</v>
          </cell>
          <cell r="T378">
            <v>291</v>
          </cell>
          <cell r="U378">
            <v>204</v>
          </cell>
          <cell r="V378">
            <v>116</v>
          </cell>
          <cell r="W378">
            <v>524</v>
          </cell>
          <cell r="X378">
            <v>477</v>
          </cell>
          <cell r="Y378">
            <v>401</v>
          </cell>
          <cell r="Z378">
            <v>346</v>
          </cell>
          <cell r="AA378">
            <v>291</v>
          </cell>
          <cell r="AB378">
            <v>204</v>
          </cell>
          <cell r="AC378">
            <v>116</v>
          </cell>
        </row>
        <row r="379">
          <cell r="A379" t="str">
            <v>11-17-25</v>
          </cell>
          <cell r="B379">
            <v>643</v>
          </cell>
          <cell r="C379">
            <v>576</v>
          </cell>
          <cell r="D379">
            <v>477</v>
          </cell>
          <cell r="E379">
            <v>409</v>
          </cell>
          <cell r="F379">
            <v>340</v>
          </cell>
          <cell r="G379">
            <v>233</v>
          </cell>
          <cell r="H379">
            <v>125</v>
          </cell>
          <cell r="I379">
            <v>643</v>
          </cell>
          <cell r="J379">
            <v>576</v>
          </cell>
          <cell r="K379">
            <v>477</v>
          </cell>
          <cell r="L379">
            <v>409</v>
          </cell>
          <cell r="M379">
            <v>340</v>
          </cell>
          <cell r="N379">
            <v>233</v>
          </cell>
          <cell r="O379">
            <v>125</v>
          </cell>
          <cell r="P379">
            <v>482</v>
          </cell>
          <cell r="Q379">
            <v>441</v>
          </cell>
          <cell r="R379">
            <v>374</v>
          </cell>
          <cell r="S379">
            <v>325</v>
          </cell>
          <cell r="T379">
            <v>276</v>
          </cell>
          <cell r="U379">
            <v>193</v>
          </cell>
          <cell r="V379">
            <v>109</v>
          </cell>
          <cell r="W379">
            <v>482</v>
          </cell>
          <cell r="X379">
            <v>441</v>
          </cell>
          <cell r="Y379">
            <v>374</v>
          </cell>
          <cell r="Z379">
            <v>325</v>
          </cell>
          <cell r="AA379">
            <v>276</v>
          </cell>
          <cell r="AB379">
            <v>193</v>
          </cell>
          <cell r="AC379">
            <v>109</v>
          </cell>
        </row>
        <row r="380">
          <cell r="A380" t="str">
            <v>11-18-25</v>
          </cell>
          <cell r="B380">
            <v>583</v>
          </cell>
          <cell r="C380">
            <v>525</v>
          </cell>
          <cell r="D380">
            <v>436</v>
          </cell>
          <cell r="E380">
            <v>374</v>
          </cell>
          <cell r="F380">
            <v>312</v>
          </cell>
          <cell r="G380">
            <v>213</v>
          </cell>
          <cell r="H380">
            <v>113</v>
          </cell>
          <cell r="I380">
            <v>583</v>
          </cell>
          <cell r="J380">
            <v>525</v>
          </cell>
          <cell r="K380">
            <v>436</v>
          </cell>
          <cell r="L380">
            <v>374</v>
          </cell>
          <cell r="M380">
            <v>312</v>
          </cell>
          <cell r="N380">
            <v>213</v>
          </cell>
          <cell r="O380">
            <v>113</v>
          </cell>
          <cell r="P380">
            <v>437</v>
          </cell>
          <cell r="Q380">
            <v>402</v>
          </cell>
          <cell r="R380">
            <v>341</v>
          </cell>
          <cell r="S380">
            <v>297</v>
          </cell>
          <cell r="T380">
            <v>253</v>
          </cell>
          <cell r="U380">
            <v>176</v>
          </cell>
          <cell r="V380">
            <v>99</v>
          </cell>
          <cell r="W380">
            <v>437</v>
          </cell>
          <cell r="X380">
            <v>402</v>
          </cell>
          <cell r="Y380">
            <v>341</v>
          </cell>
          <cell r="Z380">
            <v>297</v>
          </cell>
          <cell r="AA380">
            <v>253</v>
          </cell>
          <cell r="AB380">
            <v>176</v>
          </cell>
          <cell r="AC380">
            <v>99</v>
          </cell>
        </row>
        <row r="381">
          <cell r="A381" t="str">
            <v>11-19-25</v>
          </cell>
          <cell r="B381">
            <v>519</v>
          </cell>
          <cell r="C381">
            <v>470</v>
          </cell>
          <cell r="D381">
            <v>393</v>
          </cell>
          <cell r="E381">
            <v>338</v>
          </cell>
          <cell r="F381">
            <v>282</v>
          </cell>
          <cell r="G381">
            <v>192</v>
          </cell>
          <cell r="H381">
            <v>102</v>
          </cell>
          <cell r="I381">
            <v>519</v>
          </cell>
          <cell r="J381">
            <v>470</v>
          </cell>
          <cell r="K381">
            <v>393</v>
          </cell>
          <cell r="L381">
            <v>338</v>
          </cell>
          <cell r="M381">
            <v>282</v>
          </cell>
          <cell r="N381">
            <v>192</v>
          </cell>
          <cell r="O381">
            <v>102</v>
          </cell>
          <cell r="P381">
            <v>389</v>
          </cell>
          <cell r="Q381">
            <v>359</v>
          </cell>
          <cell r="R381">
            <v>308</v>
          </cell>
          <cell r="S381">
            <v>269</v>
          </cell>
          <cell r="T381">
            <v>229</v>
          </cell>
          <cell r="U381">
            <v>159</v>
          </cell>
          <cell r="V381">
            <v>89</v>
          </cell>
          <cell r="W381">
            <v>389</v>
          </cell>
          <cell r="X381">
            <v>359</v>
          </cell>
          <cell r="Y381">
            <v>308</v>
          </cell>
          <cell r="Z381">
            <v>269</v>
          </cell>
          <cell r="AA381">
            <v>229</v>
          </cell>
          <cell r="AB381">
            <v>159</v>
          </cell>
          <cell r="AC381">
            <v>89</v>
          </cell>
        </row>
        <row r="382">
          <cell r="A382" t="str">
            <v>12-14-25</v>
          </cell>
          <cell r="B382">
            <v>799</v>
          </cell>
          <cell r="C382">
            <v>706</v>
          </cell>
          <cell r="D382">
            <v>567</v>
          </cell>
          <cell r="E382">
            <v>482</v>
          </cell>
          <cell r="F382">
            <v>396</v>
          </cell>
          <cell r="G382">
            <v>272</v>
          </cell>
          <cell r="H382">
            <v>148</v>
          </cell>
          <cell r="I382">
            <v>799</v>
          </cell>
          <cell r="J382">
            <v>706</v>
          </cell>
          <cell r="K382">
            <v>567</v>
          </cell>
          <cell r="L382">
            <v>482</v>
          </cell>
          <cell r="M382">
            <v>396</v>
          </cell>
          <cell r="N382">
            <v>271</v>
          </cell>
          <cell r="O382">
            <v>145</v>
          </cell>
          <cell r="P382">
            <v>599</v>
          </cell>
          <cell r="Q382">
            <v>540</v>
          </cell>
          <cell r="R382">
            <v>444</v>
          </cell>
          <cell r="S382">
            <v>383</v>
          </cell>
          <cell r="T382">
            <v>322</v>
          </cell>
          <cell r="U382">
            <v>226</v>
          </cell>
          <cell r="V382">
            <v>129</v>
          </cell>
          <cell r="W382">
            <v>599</v>
          </cell>
          <cell r="X382">
            <v>540</v>
          </cell>
          <cell r="Y382">
            <v>444</v>
          </cell>
          <cell r="Z382">
            <v>383</v>
          </cell>
          <cell r="AA382">
            <v>322</v>
          </cell>
          <cell r="AB382">
            <v>224</v>
          </cell>
          <cell r="AC382">
            <v>126</v>
          </cell>
        </row>
        <row r="383">
          <cell r="A383" t="str">
            <v>12-15-25</v>
          </cell>
          <cell r="B383">
            <v>745</v>
          </cell>
          <cell r="C383">
            <v>661</v>
          </cell>
          <cell r="D383">
            <v>540</v>
          </cell>
          <cell r="E383">
            <v>458</v>
          </cell>
          <cell r="F383">
            <v>375</v>
          </cell>
          <cell r="G383">
            <v>256</v>
          </cell>
          <cell r="H383">
            <v>137</v>
          </cell>
          <cell r="I383">
            <v>745</v>
          </cell>
          <cell r="J383">
            <v>661</v>
          </cell>
          <cell r="K383">
            <v>540</v>
          </cell>
          <cell r="L383">
            <v>458</v>
          </cell>
          <cell r="M383">
            <v>375</v>
          </cell>
          <cell r="N383">
            <v>256</v>
          </cell>
          <cell r="O383">
            <v>137</v>
          </cell>
          <cell r="P383">
            <v>559</v>
          </cell>
          <cell r="Q383">
            <v>506</v>
          </cell>
          <cell r="R383">
            <v>423</v>
          </cell>
          <cell r="S383">
            <v>364</v>
          </cell>
          <cell r="T383">
            <v>304</v>
          </cell>
          <cell r="U383">
            <v>212</v>
          </cell>
          <cell r="V383">
            <v>120</v>
          </cell>
          <cell r="W383">
            <v>559</v>
          </cell>
          <cell r="X383">
            <v>506</v>
          </cell>
          <cell r="Y383">
            <v>423</v>
          </cell>
          <cell r="Z383">
            <v>364</v>
          </cell>
          <cell r="AA383">
            <v>304</v>
          </cell>
          <cell r="AB383">
            <v>212</v>
          </cell>
          <cell r="AC383">
            <v>120</v>
          </cell>
        </row>
        <row r="384">
          <cell r="A384" t="str">
            <v>12-16-25</v>
          </cell>
          <cell r="B384">
            <v>690</v>
          </cell>
          <cell r="C384">
            <v>616</v>
          </cell>
          <cell r="D384">
            <v>506</v>
          </cell>
          <cell r="E384">
            <v>430</v>
          </cell>
          <cell r="F384">
            <v>354</v>
          </cell>
          <cell r="G384">
            <v>242</v>
          </cell>
          <cell r="H384">
            <v>130</v>
          </cell>
          <cell r="I384">
            <v>690</v>
          </cell>
          <cell r="J384">
            <v>616</v>
          </cell>
          <cell r="K384">
            <v>506</v>
          </cell>
          <cell r="L384">
            <v>430</v>
          </cell>
          <cell r="M384">
            <v>354</v>
          </cell>
          <cell r="N384">
            <v>242</v>
          </cell>
          <cell r="O384">
            <v>130</v>
          </cell>
          <cell r="P384">
            <v>517</v>
          </cell>
          <cell r="Q384">
            <v>471</v>
          </cell>
          <cell r="R384">
            <v>396</v>
          </cell>
          <cell r="S384">
            <v>342</v>
          </cell>
          <cell r="T384">
            <v>287</v>
          </cell>
          <cell r="U384">
            <v>200</v>
          </cell>
          <cell r="V384">
            <v>113</v>
          </cell>
          <cell r="W384">
            <v>517</v>
          </cell>
          <cell r="X384">
            <v>471</v>
          </cell>
          <cell r="Y384">
            <v>396</v>
          </cell>
          <cell r="Z384">
            <v>342</v>
          </cell>
          <cell r="AA384">
            <v>287</v>
          </cell>
          <cell r="AB384">
            <v>200</v>
          </cell>
          <cell r="AC384">
            <v>113</v>
          </cell>
        </row>
        <row r="385">
          <cell r="A385" t="str">
            <v>12-17-25</v>
          </cell>
          <cell r="B385">
            <v>635</v>
          </cell>
          <cell r="C385">
            <v>569</v>
          </cell>
          <cell r="D385">
            <v>470</v>
          </cell>
          <cell r="E385">
            <v>403</v>
          </cell>
          <cell r="F385">
            <v>336</v>
          </cell>
          <cell r="G385">
            <v>230</v>
          </cell>
          <cell r="H385">
            <v>123</v>
          </cell>
          <cell r="I385">
            <v>635</v>
          </cell>
          <cell r="J385">
            <v>569</v>
          </cell>
          <cell r="K385">
            <v>470</v>
          </cell>
          <cell r="L385">
            <v>403</v>
          </cell>
          <cell r="M385">
            <v>336</v>
          </cell>
          <cell r="N385">
            <v>230</v>
          </cell>
          <cell r="O385">
            <v>123</v>
          </cell>
          <cell r="P385">
            <v>476</v>
          </cell>
          <cell r="Q385">
            <v>435</v>
          </cell>
          <cell r="R385">
            <v>368</v>
          </cell>
          <cell r="S385">
            <v>321</v>
          </cell>
          <cell r="T385">
            <v>273</v>
          </cell>
          <cell r="U385">
            <v>190</v>
          </cell>
          <cell r="V385">
            <v>107</v>
          </cell>
          <cell r="W385">
            <v>476</v>
          </cell>
          <cell r="X385">
            <v>435</v>
          </cell>
          <cell r="Y385">
            <v>368</v>
          </cell>
          <cell r="Z385">
            <v>321</v>
          </cell>
          <cell r="AA385">
            <v>273</v>
          </cell>
          <cell r="AB385">
            <v>190</v>
          </cell>
          <cell r="AC385">
            <v>107</v>
          </cell>
        </row>
        <row r="386">
          <cell r="A386" t="str">
            <v>12-18-25</v>
          </cell>
          <cell r="B386">
            <v>578</v>
          </cell>
          <cell r="C386">
            <v>521</v>
          </cell>
          <cell r="D386">
            <v>432</v>
          </cell>
          <cell r="E386">
            <v>372</v>
          </cell>
          <cell r="F386">
            <v>311</v>
          </cell>
          <cell r="G386">
            <v>212</v>
          </cell>
          <cell r="H386">
            <v>113</v>
          </cell>
          <cell r="I386">
            <v>578</v>
          </cell>
          <cell r="J386">
            <v>521</v>
          </cell>
          <cell r="K386">
            <v>432</v>
          </cell>
          <cell r="L386">
            <v>372</v>
          </cell>
          <cell r="M386">
            <v>311</v>
          </cell>
          <cell r="N386">
            <v>212</v>
          </cell>
          <cell r="O386">
            <v>113</v>
          </cell>
          <cell r="P386">
            <v>433</v>
          </cell>
          <cell r="Q386">
            <v>399</v>
          </cell>
          <cell r="R386">
            <v>338</v>
          </cell>
          <cell r="S386">
            <v>296</v>
          </cell>
          <cell r="T386">
            <v>253</v>
          </cell>
          <cell r="U386">
            <v>176</v>
          </cell>
          <cell r="V386">
            <v>99</v>
          </cell>
          <cell r="W386">
            <v>433</v>
          </cell>
          <cell r="X386">
            <v>399</v>
          </cell>
          <cell r="Y386">
            <v>338</v>
          </cell>
          <cell r="Z386">
            <v>296</v>
          </cell>
          <cell r="AA386">
            <v>253</v>
          </cell>
          <cell r="AB386">
            <v>176</v>
          </cell>
          <cell r="AC386">
            <v>99</v>
          </cell>
        </row>
        <row r="387">
          <cell r="A387" t="str">
            <v>12-19-25</v>
          </cell>
          <cell r="B387">
            <v>515</v>
          </cell>
          <cell r="C387">
            <v>466</v>
          </cell>
          <cell r="D387">
            <v>389</v>
          </cell>
          <cell r="E387">
            <v>335</v>
          </cell>
          <cell r="F387">
            <v>281</v>
          </cell>
          <cell r="G387">
            <v>192</v>
          </cell>
          <cell r="H387">
            <v>102</v>
          </cell>
          <cell r="I387">
            <v>515</v>
          </cell>
          <cell r="J387">
            <v>466</v>
          </cell>
          <cell r="K387">
            <v>389</v>
          </cell>
          <cell r="L387">
            <v>335</v>
          </cell>
          <cell r="M387">
            <v>281</v>
          </cell>
          <cell r="N387">
            <v>192</v>
          </cell>
          <cell r="O387">
            <v>102</v>
          </cell>
          <cell r="P387">
            <v>386</v>
          </cell>
          <cell r="Q387">
            <v>357</v>
          </cell>
          <cell r="R387">
            <v>305</v>
          </cell>
          <cell r="S387">
            <v>267</v>
          </cell>
          <cell r="T387">
            <v>228</v>
          </cell>
          <cell r="U387">
            <v>158</v>
          </cell>
          <cell r="V387">
            <v>88</v>
          </cell>
          <cell r="W387">
            <v>386</v>
          </cell>
          <cell r="X387">
            <v>357</v>
          </cell>
          <cell r="Y387">
            <v>305</v>
          </cell>
          <cell r="Z387">
            <v>267</v>
          </cell>
          <cell r="AA387">
            <v>228</v>
          </cell>
          <cell r="AB387">
            <v>158</v>
          </cell>
          <cell r="AC387">
            <v>88</v>
          </cell>
        </row>
        <row r="388">
          <cell r="A388" t="str">
            <v>12-20-25</v>
          </cell>
          <cell r="B388">
            <v>448</v>
          </cell>
          <cell r="C388">
            <v>408</v>
          </cell>
          <cell r="D388">
            <v>343</v>
          </cell>
          <cell r="E388">
            <v>297</v>
          </cell>
          <cell r="F388">
            <v>250</v>
          </cell>
          <cell r="G388">
            <v>171</v>
          </cell>
          <cell r="H388">
            <v>91</v>
          </cell>
          <cell r="I388">
            <v>448</v>
          </cell>
          <cell r="J388">
            <v>408</v>
          </cell>
          <cell r="K388">
            <v>343</v>
          </cell>
          <cell r="L388">
            <v>297</v>
          </cell>
          <cell r="M388">
            <v>250</v>
          </cell>
          <cell r="N388">
            <v>171</v>
          </cell>
          <cell r="O388">
            <v>91</v>
          </cell>
          <cell r="P388">
            <v>336</v>
          </cell>
          <cell r="Q388">
            <v>312</v>
          </cell>
          <cell r="R388">
            <v>269</v>
          </cell>
          <cell r="S388">
            <v>236</v>
          </cell>
          <cell r="T388">
            <v>203</v>
          </cell>
          <cell r="U388">
            <v>141</v>
          </cell>
          <cell r="V388">
            <v>79</v>
          </cell>
          <cell r="W388">
            <v>336</v>
          </cell>
          <cell r="X388">
            <v>312</v>
          </cell>
          <cell r="Y388">
            <v>269</v>
          </cell>
          <cell r="Z388">
            <v>236</v>
          </cell>
          <cell r="AA388">
            <v>203</v>
          </cell>
          <cell r="AB388">
            <v>141</v>
          </cell>
          <cell r="AC388">
            <v>79</v>
          </cell>
        </row>
        <row r="389">
          <cell r="A389" t="str">
            <v>13-15-25</v>
          </cell>
          <cell r="B389">
            <v>737</v>
          </cell>
          <cell r="C389">
            <v>653</v>
          </cell>
          <cell r="D389">
            <v>533</v>
          </cell>
          <cell r="E389">
            <v>452</v>
          </cell>
          <cell r="F389">
            <v>370</v>
          </cell>
          <cell r="G389">
            <v>253</v>
          </cell>
          <cell r="H389">
            <v>135</v>
          </cell>
          <cell r="I389">
            <v>737</v>
          </cell>
          <cell r="J389">
            <v>653</v>
          </cell>
          <cell r="K389">
            <v>533</v>
          </cell>
          <cell r="L389">
            <v>452</v>
          </cell>
          <cell r="M389">
            <v>370</v>
          </cell>
          <cell r="N389">
            <v>253</v>
          </cell>
          <cell r="O389">
            <v>135</v>
          </cell>
          <cell r="P389">
            <v>552</v>
          </cell>
          <cell r="Q389">
            <v>500</v>
          </cell>
          <cell r="R389">
            <v>417</v>
          </cell>
          <cell r="S389">
            <v>359</v>
          </cell>
          <cell r="T389">
            <v>301</v>
          </cell>
          <cell r="U389">
            <v>209</v>
          </cell>
          <cell r="V389">
            <v>117</v>
          </cell>
          <cell r="W389">
            <v>552</v>
          </cell>
          <cell r="X389">
            <v>500</v>
          </cell>
          <cell r="Y389">
            <v>417</v>
          </cell>
          <cell r="Z389">
            <v>359</v>
          </cell>
          <cell r="AA389">
            <v>301</v>
          </cell>
          <cell r="AB389">
            <v>209</v>
          </cell>
          <cell r="AC389">
            <v>117</v>
          </cell>
        </row>
        <row r="390">
          <cell r="A390" t="str">
            <v>13-16-25</v>
          </cell>
          <cell r="B390">
            <v>682</v>
          </cell>
          <cell r="C390">
            <v>607</v>
          </cell>
          <cell r="D390">
            <v>499</v>
          </cell>
          <cell r="E390">
            <v>424</v>
          </cell>
          <cell r="F390">
            <v>349</v>
          </cell>
          <cell r="G390">
            <v>238</v>
          </cell>
          <cell r="H390">
            <v>127</v>
          </cell>
          <cell r="I390">
            <v>682</v>
          </cell>
          <cell r="J390">
            <v>607</v>
          </cell>
          <cell r="K390">
            <v>499</v>
          </cell>
          <cell r="L390">
            <v>424</v>
          </cell>
          <cell r="M390">
            <v>349</v>
          </cell>
          <cell r="N390">
            <v>238</v>
          </cell>
          <cell r="O390">
            <v>127</v>
          </cell>
          <cell r="P390">
            <v>511</v>
          </cell>
          <cell r="Q390">
            <v>465</v>
          </cell>
          <cell r="R390">
            <v>390</v>
          </cell>
          <cell r="S390">
            <v>337</v>
          </cell>
          <cell r="T390">
            <v>283</v>
          </cell>
          <cell r="U390">
            <v>197</v>
          </cell>
          <cell r="V390">
            <v>111</v>
          </cell>
          <cell r="W390">
            <v>511</v>
          </cell>
          <cell r="X390">
            <v>465</v>
          </cell>
          <cell r="Y390">
            <v>390</v>
          </cell>
          <cell r="Z390">
            <v>337</v>
          </cell>
          <cell r="AA390">
            <v>283</v>
          </cell>
          <cell r="AB390">
            <v>197</v>
          </cell>
          <cell r="AC390">
            <v>111</v>
          </cell>
        </row>
        <row r="391">
          <cell r="A391" t="str">
            <v>13-17-25</v>
          </cell>
          <cell r="B391">
            <v>627</v>
          </cell>
          <cell r="C391">
            <v>561</v>
          </cell>
          <cell r="D391">
            <v>464</v>
          </cell>
          <cell r="E391">
            <v>398</v>
          </cell>
          <cell r="F391">
            <v>331</v>
          </cell>
          <cell r="G391">
            <v>227</v>
          </cell>
          <cell r="H391">
            <v>122</v>
          </cell>
          <cell r="I391">
            <v>627</v>
          </cell>
          <cell r="J391">
            <v>561</v>
          </cell>
          <cell r="K391">
            <v>464</v>
          </cell>
          <cell r="L391">
            <v>398</v>
          </cell>
          <cell r="M391">
            <v>331</v>
          </cell>
          <cell r="N391">
            <v>227</v>
          </cell>
          <cell r="O391">
            <v>122</v>
          </cell>
          <cell r="P391">
            <v>470</v>
          </cell>
          <cell r="Q391">
            <v>429</v>
          </cell>
          <cell r="R391">
            <v>363</v>
          </cell>
          <cell r="S391">
            <v>316</v>
          </cell>
          <cell r="T391">
            <v>269</v>
          </cell>
          <cell r="U391">
            <v>188</v>
          </cell>
          <cell r="V391">
            <v>106</v>
          </cell>
          <cell r="W391">
            <v>470</v>
          </cell>
          <cell r="X391">
            <v>429</v>
          </cell>
          <cell r="Y391">
            <v>363</v>
          </cell>
          <cell r="Z391">
            <v>316</v>
          </cell>
          <cell r="AA391">
            <v>269</v>
          </cell>
          <cell r="AB391">
            <v>188</v>
          </cell>
          <cell r="AC391">
            <v>106</v>
          </cell>
        </row>
        <row r="392">
          <cell r="A392" t="str">
            <v>13-18-25</v>
          </cell>
          <cell r="B392">
            <v>570</v>
          </cell>
          <cell r="C392">
            <v>513</v>
          </cell>
          <cell r="D392">
            <v>426</v>
          </cell>
          <cell r="E392">
            <v>366</v>
          </cell>
          <cell r="F392">
            <v>306</v>
          </cell>
          <cell r="G392">
            <v>210</v>
          </cell>
          <cell r="H392">
            <v>113</v>
          </cell>
          <cell r="I392">
            <v>570</v>
          </cell>
          <cell r="J392">
            <v>513</v>
          </cell>
          <cell r="K392">
            <v>426</v>
          </cell>
          <cell r="L392">
            <v>366</v>
          </cell>
          <cell r="M392">
            <v>306</v>
          </cell>
          <cell r="N392">
            <v>210</v>
          </cell>
          <cell r="O392">
            <v>113</v>
          </cell>
          <cell r="P392">
            <v>428</v>
          </cell>
          <cell r="Q392">
            <v>392</v>
          </cell>
          <cell r="R392">
            <v>333</v>
          </cell>
          <cell r="S392">
            <v>291</v>
          </cell>
          <cell r="T392">
            <v>248</v>
          </cell>
          <cell r="U392">
            <v>174</v>
          </cell>
          <cell r="V392">
            <v>99</v>
          </cell>
          <cell r="W392">
            <v>428</v>
          </cell>
          <cell r="X392">
            <v>392</v>
          </cell>
          <cell r="Y392">
            <v>333</v>
          </cell>
          <cell r="Z392">
            <v>291</v>
          </cell>
          <cell r="AA392">
            <v>248</v>
          </cell>
          <cell r="AB392">
            <v>174</v>
          </cell>
          <cell r="AC392">
            <v>99</v>
          </cell>
        </row>
        <row r="393">
          <cell r="A393" t="str">
            <v>13-19-25</v>
          </cell>
          <cell r="B393">
            <v>510</v>
          </cell>
          <cell r="C393">
            <v>460</v>
          </cell>
          <cell r="D393">
            <v>385</v>
          </cell>
          <cell r="E393">
            <v>332</v>
          </cell>
          <cell r="F393">
            <v>278</v>
          </cell>
          <cell r="G393">
            <v>190</v>
          </cell>
          <cell r="H393">
            <v>102</v>
          </cell>
          <cell r="I393">
            <v>510</v>
          </cell>
          <cell r="J393">
            <v>460</v>
          </cell>
          <cell r="K393">
            <v>385</v>
          </cell>
          <cell r="L393">
            <v>332</v>
          </cell>
          <cell r="M393">
            <v>278</v>
          </cell>
          <cell r="N393">
            <v>190</v>
          </cell>
          <cell r="O393">
            <v>102</v>
          </cell>
          <cell r="P393">
            <v>382</v>
          </cell>
          <cell r="Q393">
            <v>352</v>
          </cell>
          <cell r="R393">
            <v>301</v>
          </cell>
          <cell r="S393">
            <v>264</v>
          </cell>
          <cell r="T393">
            <v>226</v>
          </cell>
          <cell r="U393">
            <v>158</v>
          </cell>
          <cell r="V393">
            <v>89</v>
          </cell>
          <cell r="W393">
            <v>382</v>
          </cell>
          <cell r="X393">
            <v>352</v>
          </cell>
          <cell r="Y393">
            <v>301</v>
          </cell>
          <cell r="Z393">
            <v>264</v>
          </cell>
          <cell r="AA393">
            <v>226</v>
          </cell>
          <cell r="AB393">
            <v>158</v>
          </cell>
          <cell r="AC393">
            <v>89</v>
          </cell>
        </row>
        <row r="394">
          <cell r="A394" t="str">
            <v>13-20-25</v>
          </cell>
          <cell r="B394">
            <v>444</v>
          </cell>
          <cell r="C394">
            <v>403</v>
          </cell>
          <cell r="D394">
            <v>340</v>
          </cell>
          <cell r="E394">
            <v>294</v>
          </cell>
          <cell r="F394">
            <v>247</v>
          </cell>
          <cell r="G394">
            <v>169</v>
          </cell>
          <cell r="H394">
            <v>91</v>
          </cell>
          <cell r="I394">
            <v>444</v>
          </cell>
          <cell r="J394">
            <v>403</v>
          </cell>
          <cell r="K394">
            <v>340</v>
          </cell>
          <cell r="L394">
            <v>294</v>
          </cell>
          <cell r="M394">
            <v>247</v>
          </cell>
          <cell r="N394">
            <v>169</v>
          </cell>
          <cell r="O394">
            <v>91</v>
          </cell>
          <cell r="P394">
            <v>333</v>
          </cell>
          <cell r="Q394">
            <v>309</v>
          </cell>
          <cell r="R394">
            <v>266</v>
          </cell>
          <cell r="S394">
            <v>234</v>
          </cell>
          <cell r="T394">
            <v>201</v>
          </cell>
          <cell r="U394">
            <v>140</v>
          </cell>
          <cell r="V394">
            <v>79</v>
          </cell>
          <cell r="W394">
            <v>333</v>
          </cell>
          <cell r="X394">
            <v>309</v>
          </cell>
          <cell r="Y394">
            <v>266</v>
          </cell>
          <cell r="Z394">
            <v>234</v>
          </cell>
          <cell r="AA394">
            <v>201</v>
          </cell>
          <cell r="AB394">
            <v>140</v>
          </cell>
          <cell r="AC394">
            <v>79</v>
          </cell>
        </row>
        <row r="395">
          <cell r="A395" t="str">
            <v>14-16-25</v>
          </cell>
          <cell r="B395">
            <v>673</v>
          </cell>
          <cell r="C395">
            <v>600</v>
          </cell>
          <cell r="D395">
            <v>491</v>
          </cell>
          <cell r="E395">
            <v>417</v>
          </cell>
          <cell r="F395">
            <v>342</v>
          </cell>
          <cell r="G395">
            <v>234</v>
          </cell>
          <cell r="H395">
            <v>125</v>
          </cell>
          <cell r="I395">
            <v>673</v>
          </cell>
          <cell r="J395">
            <v>600</v>
          </cell>
          <cell r="K395">
            <v>491</v>
          </cell>
          <cell r="L395">
            <v>417</v>
          </cell>
          <cell r="M395">
            <v>342</v>
          </cell>
          <cell r="N395">
            <v>234</v>
          </cell>
          <cell r="O395">
            <v>125</v>
          </cell>
          <cell r="P395">
            <v>505</v>
          </cell>
          <cell r="Q395">
            <v>459</v>
          </cell>
          <cell r="R395">
            <v>385</v>
          </cell>
          <cell r="S395">
            <v>332</v>
          </cell>
          <cell r="T395">
            <v>278</v>
          </cell>
          <cell r="U395">
            <v>194</v>
          </cell>
          <cell r="V395">
            <v>109</v>
          </cell>
          <cell r="W395">
            <v>505</v>
          </cell>
          <cell r="X395">
            <v>459</v>
          </cell>
          <cell r="Y395">
            <v>385</v>
          </cell>
          <cell r="Z395">
            <v>332</v>
          </cell>
          <cell r="AA395">
            <v>278</v>
          </cell>
          <cell r="AB395">
            <v>194</v>
          </cell>
          <cell r="AC395">
            <v>109</v>
          </cell>
        </row>
        <row r="396">
          <cell r="A396" t="str">
            <v>14-17-25</v>
          </cell>
          <cell r="B396">
            <v>618</v>
          </cell>
          <cell r="C396">
            <v>552</v>
          </cell>
          <cell r="D396">
            <v>455</v>
          </cell>
          <cell r="E396">
            <v>390</v>
          </cell>
          <cell r="F396">
            <v>325</v>
          </cell>
          <cell r="G396">
            <v>222</v>
          </cell>
          <cell r="H396">
            <v>119</v>
          </cell>
          <cell r="I396">
            <v>618</v>
          </cell>
          <cell r="J396">
            <v>552</v>
          </cell>
          <cell r="K396">
            <v>455</v>
          </cell>
          <cell r="L396">
            <v>390</v>
          </cell>
          <cell r="M396">
            <v>325</v>
          </cell>
          <cell r="N396">
            <v>222</v>
          </cell>
          <cell r="O396">
            <v>119</v>
          </cell>
          <cell r="P396">
            <v>463</v>
          </cell>
          <cell r="Q396">
            <v>423</v>
          </cell>
          <cell r="R396">
            <v>356</v>
          </cell>
          <cell r="S396">
            <v>310</v>
          </cell>
          <cell r="T396">
            <v>264</v>
          </cell>
          <cell r="U396">
            <v>184</v>
          </cell>
          <cell r="V396">
            <v>104</v>
          </cell>
          <cell r="W396">
            <v>463</v>
          </cell>
          <cell r="X396">
            <v>423</v>
          </cell>
          <cell r="Y396">
            <v>356</v>
          </cell>
          <cell r="Z396">
            <v>310</v>
          </cell>
          <cell r="AA396">
            <v>264</v>
          </cell>
          <cell r="AB396">
            <v>184</v>
          </cell>
          <cell r="AC396">
            <v>104</v>
          </cell>
        </row>
        <row r="397">
          <cell r="A397" t="str">
            <v>14-18-25</v>
          </cell>
          <cell r="B397">
            <v>562</v>
          </cell>
          <cell r="C397">
            <v>505</v>
          </cell>
          <cell r="D397">
            <v>419</v>
          </cell>
          <cell r="E397">
            <v>360</v>
          </cell>
          <cell r="F397">
            <v>301</v>
          </cell>
          <cell r="G397">
            <v>206</v>
          </cell>
          <cell r="H397">
            <v>111</v>
          </cell>
          <cell r="I397">
            <v>562</v>
          </cell>
          <cell r="J397">
            <v>505</v>
          </cell>
          <cell r="K397">
            <v>419</v>
          </cell>
          <cell r="L397">
            <v>360</v>
          </cell>
          <cell r="M397">
            <v>301</v>
          </cell>
          <cell r="N397">
            <v>206</v>
          </cell>
          <cell r="O397">
            <v>111</v>
          </cell>
          <cell r="P397">
            <v>421</v>
          </cell>
          <cell r="Q397">
            <v>386</v>
          </cell>
          <cell r="R397">
            <v>328</v>
          </cell>
          <cell r="S397">
            <v>286</v>
          </cell>
          <cell r="T397">
            <v>244</v>
          </cell>
          <cell r="U397">
            <v>170</v>
          </cell>
          <cell r="V397">
            <v>96</v>
          </cell>
          <cell r="W397">
            <v>421</v>
          </cell>
          <cell r="X397">
            <v>386</v>
          </cell>
          <cell r="Y397">
            <v>328</v>
          </cell>
          <cell r="Z397">
            <v>286</v>
          </cell>
          <cell r="AA397">
            <v>244</v>
          </cell>
          <cell r="AB397">
            <v>170</v>
          </cell>
          <cell r="AC397">
            <v>96</v>
          </cell>
        </row>
        <row r="398">
          <cell r="A398" t="str">
            <v>14-19-25</v>
          </cell>
          <cell r="B398">
            <v>503</v>
          </cell>
          <cell r="C398">
            <v>455</v>
          </cell>
          <cell r="D398">
            <v>380</v>
          </cell>
          <cell r="E398">
            <v>328</v>
          </cell>
          <cell r="F398">
            <v>276</v>
          </cell>
          <cell r="G398">
            <v>189</v>
          </cell>
          <cell r="H398">
            <v>102</v>
          </cell>
          <cell r="I398">
            <v>503</v>
          </cell>
          <cell r="J398">
            <v>455</v>
          </cell>
          <cell r="K398">
            <v>380</v>
          </cell>
          <cell r="L398">
            <v>328</v>
          </cell>
          <cell r="M398">
            <v>276</v>
          </cell>
          <cell r="N398">
            <v>189</v>
          </cell>
          <cell r="O398">
            <v>102</v>
          </cell>
          <cell r="P398">
            <v>377</v>
          </cell>
          <cell r="Q398">
            <v>348</v>
          </cell>
          <cell r="R398">
            <v>297</v>
          </cell>
          <cell r="S398">
            <v>261</v>
          </cell>
          <cell r="T398">
            <v>224</v>
          </cell>
          <cell r="U398">
            <v>156</v>
          </cell>
          <cell r="V398">
            <v>88</v>
          </cell>
          <cell r="W398">
            <v>377</v>
          </cell>
          <cell r="X398">
            <v>348</v>
          </cell>
          <cell r="Y398">
            <v>297</v>
          </cell>
          <cell r="Z398">
            <v>261</v>
          </cell>
          <cell r="AA398">
            <v>224</v>
          </cell>
          <cell r="AB398">
            <v>156</v>
          </cell>
          <cell r="AC398">
            <v>88</v>
          </cell>
        </row>
        <row r="399">
          <cell r="A399" t="str">
            <v>14-20-25</v>
          </cell>
          <cell r="B399">
            <v>439</v>
          </cell>
          <cell r="C399">
            <v>399</v>
          </cell>
          <cell r="D399">
            <v>336</v>
          </cell>
          <cell r="E399">
            <v>290</v>
          </cell>
          <cell r="F399">
            <v>244</v>
          </cell>
          <cell r="G399">
            <v>167</v>
          </cell>
          <cell r="H399">
            <v>90</v>
          </cell>
          <cell r="I399">
            <v>439</v>
          </cell>
          <cell r="J399">
            <v>399</v>
          </cell>
          <cell r="K399">
            <v>336</v>
          </cell>
          <cell r="L399">
            <v>290</v>
          </cell>
          <cell r="M399">
            <v>244</v>
          </cell>
          <cell r="N399">
            <v>167</v>
          </cell>
          <cell r="O399">
            <v>90</v>
          </cell>
          <cell r="P399">
            <v>329</v>
          </cell>
          <cell r="Q399">
            <v>305</v>
          </cell>
          <cell r="R399">
            <v>263</v>
          </cell>
          <cell r="S399">
            <v>231</v>
          </cell>
          <cell r="T399">
            <v>199</v>
          </cell>
          <cell r="U399">
            <v>139</v>
          </cell>
          <cell r="V399">
            <v>78</v>
          </cell>
          <cell r="W399">
            <v>329</v>
          </cell>
          <cell r="X399">
            <v>305</v>
          </cell>
          <cell r="Y399">
            <v>263</v>
          </cell>
          <cell r="Z399">
            <v>231</v>
          </cell>
          <cell r="AA399">
            <v>199</v>
          </cell>
          <cell r="AB399">
            <v>139</v>
          </cell>
          <cell r="AC399">
            <v>78</v>
          </cell>
        </row>
        <row r="400">
          <cell r="A400" t="str">
            <v>15-17-25</v>
          </cell>
          <cell r="B400">
            <v>609</v>
          </cell>
          <cell r="C400">
            <v>544</v>
          </cell>
          <cell r="D400">
            <v>448</v>
          </cell>
          <cell r="E400">
            <v>383</v>
          </cell>
          <cell r="F400">
            <v>318</v>
          </cell>
          <cell r="G400">
            <v>218</v>
          </cell>
          <cell r="H400">
            <v>117</v>
          </cell>
          <cell r="I400">
            <v>609</v>
          </cell>
          <cell r="J400">
            <v>544</v>
          </cell>
          <cell r="K400">
            <v>448</v>
          </cell>
          <cell r="L400">
            <v>383</v>
          </cell>
          <cell r="M400">
            <v>318</v>
          </cell>
          <cell r="N400">
            <v>218</v>
          </cell>
          <cell r="O400">
            <v>117</v>
          </cell>
          <cell r="P400">
            <v>456</v>
          </cell>
          <cell r="Q400">
            <v>416</v>
          </cell>
          <cell r="R400">
            <v>351</v>
          </cell>
          <cell r="S400">
            <v>305</v>
          </cell>
          <cell r="T400">
            <v>259</v>
          </cell>
          <cell r="U400">
            <v>181</v>
          </cell>
          <cell r="V400">
            <v>102</v>
          </cell>
          <cell r="W400">
            <v>456</v>
          </cell>
          <cell r="X400">
            <v>416</v>
          </cell>
          <cell r="Y400">
            <v>351</v>
          </cell>
          <cell r="Z400">
            <v>305</v>
          </cell>
          <cell r="AA400">
            <v>259</v>
          </cell>
          <cell r="AB400">
            <v>181</v>
          </cell>
          <cell r="AC400">
            <v>102</v>
          </cell>
        </row>
        <row r="401">
          <cell r="A401" t="str">
            <v>15-18-25</v>
          </cell>
          <cell r="B401">
            <v>552</v>
          </cell>
          <cell r="C401">
            <v>496</v>
          </cell>
          <cell r="D401">
            <v>411</v>
          </cell>
          <cell r="E401">
            <v>353</v>
          </cell>
          <cell r="F401">
            <v>295</v>
          </cell>
          <cell r="G401">
            <v>202</v>
          </cell>
          <cell r="H401">
            <v>109</v>
          </cell>
          <cell r="I401">
            <v>552</v>
          </cell>
          <cell r="J401">
            <v>496</v>
          </cell>
          <cell r="K401">
            <v>411</v>
          </cell>
          <cell r="L401">
            <v>353</v>
          </cell>
          <cell r="M401">
            <v>295</v>
          </cell>
          <cell r="N401">
            <v>202</v>
          </cell>
          <cell r="O401">
            <v>109</v>
          </cell>
          <cell r="P401">
            <v>414</v>
          </cell>
          <cell r="Q401">
            <v>379</v>
          </cell>
          <cell r="R401">
            <v>322</v>
          </cell>
          <cell r="S401">
            <v>281</v>
          </cell>
          <cell r="T401">
            <v>239</v>
          </cell>
          <cell r="U401">
            <v>167</v>
          </cell>
          <cell r="V401">
            <v>95</v>
          </cell>
          <cell r="W401">
            <v>414</v>
          </cell>
          <cell r="X401">
            <v>379</v>
          </cell>
          <cell r="Y401">
            <v>322</v>
          </cell>
          <cell r="Z401">
            <v>281</v>
          </cell>
          <cell r="AA401">
            <v>239</v>
          </cell>
          <cell r="AB401">
            <v>167</v>
          </cell>
          <cell r="AC401">
            <v>95</v>
          </cell>
        </row>
        <row r="402">
          <cell r="A402" t="str">
            <v>15-19-25</v>
          </cell>
          <cell r="B402">
            <v>494</v>
          </cell>
          <cell r="C402">
            <v>447</v>
          </cell>
          <cell r="D402">
            <v>372</v>
          </cell>
          <cell r="E402">
            <v>321</v>
          </cell>
          <cell r="F402">
            <v>269</v>
          </cell>
          <cell r="G402">
            <v>185</v>
          </cell>
          <cell r="H402">
            <v>101</v>
          </cell>
          <cell r="I402">
            <v>494</v>
          </cell>
          <cell r="J402">
            <v>447</v>
          </cell>
          <cell r="K402">
            <v>372</v>
          </cell>
          <cell r="L402">
            <v>321</v>
          </cell>
          <cell r="M402">
            <v>269</v>
          </cell>
          <cell r="N402">
            <v>185</v>
          </cell>
          <cell r="O402">
            <v>101</v>
          </cell>
          <cell r="P402">
            <v>370</v>
          </cell>
          <cell r="Q402">
            <v>342</v>
          </cell>
          <cell r="R402">
            <v>291</v>
          </cell>
          <cell r="S402">
            <v>255</v>
          </cell>
          <cell r="T402">
            <v>219</v>
          </cell>
          <cell r="U402">
            <v>154</v>
          </cell>
          <cell r="V402">
            <v>88</v>
          </cell>
          <cell r="W402">
            <v>370</v>
          </cell>
          <cell r="X402">
            <v>342</v>
          </cell>
          <cell r="Y402">
            <v>291</v>
          </cell>
          <cell r="Z402">
            <v>255</v>
          </cell>
          <cell r="AA402">
            <v>219</v>
          </cell>
          <cell r="AB402">
            <v>154</v>
          </cell>
          <cell r="AC402">
            <v>88</v>
          </cell>
        </row>
        <row r="403">
          <cell r="A403" t="str">
            <v>15-20-25</v>
          </cell>
          <cell r="B403">
            <v>433</v>
          </cell>
          <cell r="C403">
            <v>393</v>
          </cell>
          <cell r="D403">
            <v>331</v>
          </cell>
          <cell r="E403">
            <v>287</v>
          </cell>
          <cell r="F403">
            <v>242</v>
          </cell>
          <cell r="G403">
            <v>166</v>
          </cell>
          <cell r="H403">
            <v>90</v>
          </cell>
          <cell r="I403">
            <v>433</v>
          </cell>
          <cell r="J403">
            <v>393</v>
          </cell>
          <cell r="K403">
            <v>331</v>
          </cell>
          <cell r="L403">
            <v>287</v>
          </cell>
          <cell r="M403">
            <v>242</v>
          </cell>
          <cell r="N403">
            <v>166</v>
          </cell>
          <cell r="O403">
            <v>90</v>
          </cell>
          <cell r="P403">
            <v>325</v>
          </cell>
          <cell r="Q403">
            <v>301</v>
          </cell>
          <cell r="R403">
            <v>259</v>
          </cell>
          <cell r="S403">
            <v>228</v>
          </cell>
          <cell r="T403">
            <v>197</v>
          </cell>
          <cell r="U403">
            <v>138</v>
          </cell>
          <cell r="V403">
            <v>78</v>
          </cell>
          <cell r="W403">
            <v>325</v>
          </cell>
          <cell r="X403">
            <v>301</v>
          </cell>
          <cell r="Y403">
            <v>259</v>
          </cell>
          <cell r="Z403">
            <v>228</v>
          </cell>
          <cell r="AA403">
            <v>197</v>
          </cell>
          <cell r="AB403">
            <v>138</v>
          </cell>
          <cell r="AC403">
            <v>78</v>
          </cell>
        </row>
        <row r="404">
          <cell r="A404" t="str">
            <v>16-18-25</v>
          </cell>
          <cell r="B404">
            <v>541</v>
          </cell>
          <cell r="C404">
            <v>486</v>
          </cell>
          <cell r="D404">
            <v>403</v>
          </cell>
          <cell r="E404">
            <v>346</v>
          </cell>
          <cell r="F404">
            <v>288</v>
          </cell>
          <cell r="G404">
            <v>198</v>
          </cell>
          <cell r="H404">
            <v>107</v>
          </cell>
          <cell r="I404">
            <v>541</v>
          </cell>
          <cell r="J404">
            <v>486</v>
          </cell>
          <cell r="K404">
            <v>403</v>
          </cell>
          <cell r="L404">
            <v>346</v>
          </cell>
          <cell r="M404">
            <v>288</v>
          </cell>
          <cell r="N404">
            <v>198</v>
          </cell>
          <cell r="O404">
            <v>107</v>
          </cell>
          <cell r="P404">
            <v>406</v>
          </cell>
          <cell r="Q404">
            <v>372</v>
          </cell>
          <cell r="R404">
            <v>315</v>
          </cell>
          <cell r="S404">
            <v>275</v>
          </cell>
          <cell r="T404">
            <v>234</v>
          </cell>
          <cell r="U404">
            <v>164</v>
          </cell>
          <cell r="V404">
            <v>93</v>
          </cell>
          <cell r="W404">
            <v>406</v>
          </cell>
          <cell r="X404">
            <v>372</v>
          </cell>
          <cell r="Y404">
            <v>315</v>
          </cell>
          <cell r="Z404">
            <v>275</v>
          </cell>
          <cell r="AA404">
            <v>234</v>
          </cell>
          <cell r="AB404">
            <v>164</v>
          </cell>
          <cell r="AC404">
            <v>93</v>
          </cell>
        </row>
        <row r="405">
          <cell r="A405" t="str">
            <v>16-19-25</v>
          </cell>
          <cell r="B405">
            <v>484</v>
          </cell>
          <cell r="C405">
            <v>436</v>
          </cell>
          <cell r="D405">
            <v>364</v>
          </cell>
          <cell r="E405">
            <v>314</v>
          </cell>
          <cell r="F405">
            <v>263</v>
          </cell>
          <cell r="G405">
            <v>181</v>
          </cell>
          <cell r="H405">
            <v>98</v>
          </cell>
          <cell r="I405">
            <v>484</v>
          </cell>
          <cell r="J405">
            <v>436</v>
          </cell>
          <cell r="K405">
            <v>364</v>
          </cell>
          <cell r="L405">
            <v>314</v>
          </cell>
          <cell r="M405">
            <v>263</v>
          </cell>
          <cell r="N405">
            <v>181</v>
          </cell>
          <cell r="O405">
            <v>98</v>
          </cell>
          <cell r="P405">
            <v>363</v>
          </cell>
          <cell r="Q405">
            <v>334</v>
          </cell>
          <cell r="R405">
            <v>285</v>
          </cell>
          <cell r="S405">
            <v>250</v>
          </cell>
          <cell r="T405">
            <v>214</v>
          </cell>
          <cell r="U405">
            <v>150</v>
          </cell>
          <cell r="V405">
            <v>86</v>
          </cell>
          <cell r="W405">
            <v>363</v>
          </cell>
          <cell r="X405">
            <v>334</v>
          </cell>
          <cell r="Y405">
            <v>285</v>
          </cell>
          <cell r="Z405">
            <v>250</v>
          </cell>
          <cell r="AA405">
            <v>214</v>
          </cell>
          <cell r="AB405">
            <v>150</v>
          </cell>
          <cell r="AC405">
            <v>86</v>
          </cell>
        </row>
        <row r="406">
          <cell r="A406" t="str">
            <v>16-20-25</v>
          </cell>
          <cell r="B406">
            <v>425</v>
          </cell>
          <cell r="C406">
            <v>386</v>
          </cell>
          <cell r="D406">
            <v>325</v>
          </cell>
          <cell r="E406">
            <v>281</v>
          </cell>
          <cell r="F406">
            <v>237</v>
          </cell>
          <cell r="G406">
            <v>163</v>
          </cell>
          <cell r="H406">
            <v>89</v>
          </cell>
          <cell r="I406">
            <v>425</v>
          </cell>
          <cell r="J406">
            <v>386</v>
          </cell>
          <cell r="K406">
            <v>325</v>
          </cell>
          <cell r="L406">
            <v>281</v>
          </cell>
          <cell r="M406">
            <v>237</v>
          </cell>
          <cell r="N406">
            <v>163</v>
          </cell>
          <cell r="O406">
            <v>89</v>
          </cell>
          <cell r="P406">
            <v>318</v>
          </cell>
          <cell r="Q406">
            <v>295</v>
          </cell>
          <cell r="R406">
            <v>254</v>
          </cell>
          <cell r="S406">
            <v>224</v>
          </cell>
          <cell r="T406">
            <v>193</v>
          </cell>
          <cell r="U406">
            <v>136</v>
          </cell>
          <cell r="V406">
            <v>78</v>
          </cell>
          <cell r="W406">
            <v>318</v>
          </cell>
          <cell r="X406">
            <v>295</v>
          </cell>
          <cell r="Y406">
            <v>254</v>
          </cell>
          <cell r="Z406">
            <v>224</v>
          </cell>
          <cell r="AA406">
            <v>193</v>
          </cell>
          <cell r="AB406">
            <v>136</v>
          </cell>
          <cell r="AC406">
            <v>78</v>
          </cell>
        </row>
        <row r="407">
          <cell r="A407" t="str">
            <v>17-19-25</v>
          </cell>
          <cell r="B407">
            <v>474</v>
          </cell>
          <cell r="C407">
            <v>427</v>
          </cell>
          <cell r="D407">
            <v>355</v>
          </cell>
          <cell r="E407">
            <v>306</v>
          </cell>
          <cell r="F407">
            <v>257</v>
          </cell>
          <cell r="G407">
            <v>177</v>
          </cell>
          <cell r="H407">
            <v>96</v>
          </cell>
          <cell r="I407">
            <v>474</v>
          </cell>
          <cell r="J407">
            <v>427</v>
          </cell>
          <cell r="K407">
            <v>355</v>
          </cell>
          <cell r="L407">
            <v>306</v>
          </cell>
          <cell r="M407">
            <v>257</v>
          </cell>
          <cell r="N407">
            <v>177</v>
          </cell>
          <cell r="O407">
            <v>96</v>
          </cell>
          <cell r="P407">
            <v>355</v>
          </cell>
          <cell r="Q407">
            <v>327</v>
          </cell>
          <cell r="R407">
            <v>278</v>
          </cell>
          <cell r="S407">
            <v>244</v>
          </cell>
          <cell r="T407">
            <v>209</v>
          </cell>
          <cell r="U407">
            <v>146</v>
          </cell>
          <cell r="V407">
            <v>83</v>
          </cell>
          <cell r="W407">
            <v>355</v>
          </cell>
          <cell r="X407">
            <v>327</v>
          </cell>
          <cell r="Y407">
            <v>278</v>
          </cell>
          <cell r="Z407">
            <v>244</v>
          </cell>
          <cell r="AA407">
            <v>209</v>
          </cell>
          <cell r="AB407">
            <v>146</v>
          </cell>
          <cell r="AC407">
            <v>83</v>
          </cell>
        </row>
        <row r="408">
          <cell r="A408" t="str">
            <v>17-20-25</v>
          </cell>
          <cell r="B408">
            <v>415</v>
          </cell>
          <cell r="C408">
            <v>376</v>
          </cell>
          <cell r="D408">
            <v>316</v>
          </cell>
          <cell r="E408">
            <v>274</v>
          </cell>
          <cell r="F408">
            <v>231</v>
          </cell>
          <cell r="G408">
            <v>159</v>
          </cell>
          <cell r="H408">
            <v>87</v>
          </cell>
          <cell r="I408">
            <v>415</v>
          </cell>
          <cell r="J408">
            <v>376</v>
          </cell>
          <cell r="K408">
            <v>316</v>
          </cell>
          <cell r="L408">
            <v>274</v>
          </cell>
          <cell r="M408">
            <v>231</v>
          </cell>
          <cell r="N408">
            <v>159</v>
          </cell>
          <cell r="O408">
            <v>87</v>
          </cell>
          <cell r="P408">
            <v>311</v>
          </cell>
          <cell r="Q408">
            <v>288</v>
          </cell>
          <cell r="R408">
            <v>248</v>
          </cell>
          <cell r="S408">
            <v>218</v>
          </cell>
          <cell r="T408">
            <v>187</v>
          </cell>
          <cell r="U408">
            <v>132</v>
          </cell>
          <cell r="V408">
            <v>76</v>
          </cell>
          <cell r="W408">
            <v>311</v>
          </cell>
          <cell r="X408">
            <v>288</v>
          </cell>
          <cell r="Y408">
            <v>248</v>
          </cell>
          <cell r="Z408">
            <v>218</v>
          </cell>
          <cell r="AA408">
            <v>187</v>
          </cell>
          <cell r="AB408">
            <v>132</v>
          </cell>
          <cell r="AC408">
            <v>76</v>
          </cell>
        </row>
        <row r="409">
          <cell r="A409" t="str">
            <v>18-20-25</v>
          </cell>
          <cell r="B409">
            <v>405</v>
          </cell>
          <cell r="C409">
            <v>366</v>
          </cell>
          <cell r="D409">
            <v>306</v>
          </cell>
          <cell r="E409">
            <v>265</v>
          </cell>
          <cell r="F409">
            <v>224</v>
          </cell>
          <cell r="G409">
            <v>154</v>
          </cell>
          <cell r="H409">
            <v>84</v>
          </cell>
          <cell r="I409">
            <v>405</v>
          </cell>
          <cell r="J409">
            <v>366</v>
          </cell>
          <cell r="K409">
            <v>306</v>
          </cell>
          <cell r="L409">
            <v>265</v>
          </cell>
          <cell r="M409">
            <v>224</v>
          </cell>
          <cell r="N409">
            <v>154</v>
          </cell>
          <cell r="O409">
            <v>84</v>
          </cell>
          <cell r="P409">
            <v>303</v>
          </cell>
          <cell r="Q409">
            <v>280</v>
          </cell>
          <cell r="R409">
            <v>240</v>
          </cell>
          <cell r="S409">
            <v>211</v>
          </cell>
          <cell r="T409">
            <v>182</v>
          </cell>
          <cell r="U409">
            <v>128</v>
          </cell>
          <cell r="V409">
            <v>73</v>
          </cell>
          <cell r="W409">
            <v>303</v>
          </cell>
          <cell r="X409">
            <v>280</v>
          </cell>
          <cell r="Y409">
            <v>240</v>
          </cell>
          <cell r="Z409">
            <v>211</v>
          </cell>
          <cell r="AA409">
            <v>182</v>
          </cell>
          <cell r="AB409">
            <v>128</v>
          </cell>
          <cell r="AC409">
            <v>73</v>
          </cell>
        </row>
        <row r="410">
          <cell r="A410" t="str">
            <v>4-6-26</v>
          </cell>
          <cell r="B410">
            <v>1938</v>
          </cell>
          <cell r="C410">
            <v>1681</v>
          </cell>
          <cell r="D410">
            <v>1355</v>
          </cell>
          <cell r="E410">
            <v>1155</v>
          </cell>
          <cell r="F410">
            <v>955</v>
          </cell>
          <cell r="G410">
            <v>665</v>
          </cell>
          <cell r="H410">
            <v>374</v>
          </cell>
          <cell r="I410">
            <v>1258</v>
          </cell>
          <cell r="J410">
            <v>1085</v>
          </cell>
          <cell r="K410">
            <v>870</v>
          </cell>
          <cell r="L410">
            <v>740</v>
          </cell>
          <cell r="M410">
            <v>610</v>
          </cell>
          <cell r="N410">
            <v>424</v>
          </cell>
          <cell r="O410">
            <v>237</v>
          </cell>
          <cell r="P410">
            <v>1453</v>
          </cell>
          <cell r="Q410">
            <v>1286</v>
          </cell>
          <cell r="R410">
            <v>1060</v>
          </cell>
          <cell r="S410">
            <v>918</v>
          </cell>
          <cell r="T410">
            <v>776</v>
          </cell>
          <cell r="U410">
            <v>551</v>
          </cell>
          <cell r="V410">
            <v>326</v>
          </cell>
          <cell r="W410">
            <v>943</v>
          </cell>
          <cell r="X410">
            <v>830</v>
          </cell>
          <cell r="Y410">
            <v>681</v>
          </cell>
          <cell r="Z410">
            <v>589</v>
          </cell>
          <cell r="AA410">
            <v>496</v>
          </cell>
          <cell r="AB410">
            <v>351</v>
          </cell>
          <cell r="AC410">
            <v>206</v>
          </cell>
        </row>
        <row r="411">
          <cell r="A411" t="str">
            <v>4-7-26</v>
          </cell>
          <cell r="B411">
            <v>1828</v>
          </cell>
          <cell r="C411">
            <v>1591</v>
          </cell>
          <cell r="D411">
            <v>1287</v>
          </cell>
          <cell r="E411">
            <v>1098</v>
          </cell>
          <cell r="F411">
            <v>909</v>
          </cell>
          <cell r="G411">
            <v>632</v>
          </cell>
          <cell r="H411">
            <v>355</v>
          </cell>
          <cell r="I411">
            <v>1210</v>
          </cell>
          <cell r="J411">
            <v>1045</v>
          </cell>
          <cell r="K411">
            <v>839</v>
          </cell>
          <cell r="L411">
            <v>714</v>
          </cell>
          <cell r="M411">
            <v>589</v>
          </cell>
          <cell r="N411">
            <v>409</v>
          </cell>
          <cell r="O411">
            <v>228</v>
          </cell>
          <cell r="P411">
            <v>1371</v>
          </cell>
          <cell r="Q411">
            <v>1217</v>
          </cell>
          <cell r="R411">
            <v>1008</v>
          </cell>
          <cell r="S411">
            <v>873</v>
          </cell>
          <cell r="T411">
            <v>738</v>
          </cell>
          <cell r="U411">
            <v>524</v>
          </cell>
          <cell r="V411">
            <v>310</v>
          </cell>
          <cell r="W411">
            <v>908</v>
          </cell>
          <cell r="X411">
            <v>799</v>
          </cell>
          <cell r="Y411">
            <v>657</v>
          </cell>
          <cell r="Z411">
            <v>568</v>
          </cell>
          <cell r="AA411">
            <v>478</v>
          </cell>
          <cell r="AB411">
            <v>339</v>
          </cell>
          <cell r="AC411">
            <v>199</v>
          </cell>
        </row>
        <row r="412">
          <cell r="A412" t="str">
            <v>4-8-26</v>
          </cell>
          <cell r="B412">
            <v>1716</v>
          </cell>
          <cell r="C412">
            <v>1500</v>
          </cell>
          <cell r="D412">
            <v>1217</v>
          </cell>
          <cell r="E412">
            <v>1039</v>
          </cell>
          <cell r="F412">
            <v>861</v>
          </cell>
          <cell r="G412">
            <v>598</v>
          </cell>
          <cell r="H412">
            <v>335</v>
          </cell>
          <cell r="I412">
            <v>1162</v>
          </cell>
          <cell r="J412">
            <v>1005</v>
          </cell>
          <cell r="K412">
            <v>809</v>
          </cell>
          <cell r="L412">
            <v>688</v>
          </cell>
          <cell r="M412">
            <v>566</v>
          </cell>
          <cell r="N412">
            <v>393</v>
          </cell>
          <cell r="O412">
            <v>219</v>
          </cell>
          <cell r="P412">
            <v>1287</v>
          </cell>
          <cell r="Q412">
            <v>1147</v>
          </cell>
          <cell r="R412">
            <v>953</v>
          </cell>
          <cell r="S412">
            <v>827</v>
          </cell>
          <cell r="T412">
            <v>700</v>
          </cell>
          <cell r="U412">
            <v>496</v>
          </cell>
          <cell r="V412">
            <v>292</v>
          </cell>
          <cell r="W412">
            <v>871</v>
          </cell>
          <cell r="X412">
            <v>769</v>
          </cell>
          <cell r="Y412">
            <v>634</v>
          </cell>
          <cell r="Z412">
            <v>548</v>
          </cell>
          <cell r="AA412">
            <v>461</v>
          </cell>
          <cell r="AB412">
            <v>326</v>
          </cell>
          <cell r="AC412">
            <v>191</v>
          </cell>
        </row>
        <row r="413">
          <cell r="A413" t="str">
            <v>4-9-26</v>
          </cell>
          <cell r="B413">
            <v>1600</v>
          </cell>
          <cell r="C413">
            <v>1404</v>
          </cell>
          <cell r="D413">
            <v>1143</v>
          </cell>
          <cell r="E413">
            <v>977</v>
          </cell>
          <cell r="F413">
            <v>811</v>
          </cell>
          <cell r="G413">
            <v>563</v>
          </cell>
          <cell r="H413">
            <v>315</v>
          </cell>
          <cell r="I413">
            <v>1114</v>
          </cell>
          <cell r="J413">
            <v>965</v>
          </cell>
          <cell r="K413">
            <v>778</v>
          </cell>
          <cell r="L413">
            <v>662</v>
          </cell>
          <cell r="M413">
            <v>545</v>
          </cell>
          <cell r="N413">
            <v>377</v>
          </cell>
          <cell r="O413">
            <v>209</v>
          </cell>
          <cell r="P413">
            <v>1200</v>
          </cell>
          <cell r="Q413">
            <v>1074</v>
          </cell>
          <cell r="R413">
            <v>895</v>
          </cell>
          <cell r="S413">
            <v>777</v>
          </cell>
          <cell r="T413">
            <v>659</v>
          </cell>
          <cell r="U413">
            <v>467</v>
          </cell>
          <cell r="V413">
            <v>274</v>
          </cell>
          <cell r="W413">
            <v>835</v>
          </cell>
          <cell r="X413">
            <v>738</v>
          </cell>
          <cell r="Y413">
            <v>609</v>
          </cell>
          <cell r="Z413">
            <v>526</v>
          </cell>
          <cell r="AA413">
            <v>443</v>
          </cell>
          <cell r="AB413">
            <v>313</v>
          </cell>
          <cell r="AC413">
            <v>182</v>
          </cell>
        </row>
        <row r="414">
          <cell r="A414" t="str">
            <v>4-10-26</v>
          </cell>
          <cell r="B414">
            <v>1481</v>
          </cell>
          <cell r="C414">
            <v>1305</v>
          </cell>
          <cell r="D414">
            <v>1066</v>
          </cell>
          <cell r="E414">
            <v>912</v>
          </cell>
          <cell r="F414">
            <v>757</v>
          </cell>
          <cell r="G414">
            <v>525</v>
          </cell>
          <cell r="H414">
            <v>293</v>
          </cell>
          <cell r="I414">
            <v>1065</v>
          </cell>
          <cell r="J414">
            <v>927</v>
          </cell>
          <cell r="K414">
            <v>746</v>
          </cell>
          <cell r="L414">
            <v>635</v>
          </cell>
          <cell r="M414">
            <v>523</v>
          </cell>
          <cell r="N414">
            <v>362</v>
          </cell>
          <cell r="O414">
            <v>200</v>
          </cell>
          <cell r="P414">
            <v>1110</v>
          </cell>
          <cell r="Q414">
            <v>998</v>
          </cell>
          <cell r="R414">
            <v>835</v>
          </cell>
          <cell r="S414">
            <v>725</v>
          </cell>
          <cell r="T414">
            <v>615</v>
          </cell>
          <cell r="U414">
            <v>435</v>
          </cell>
          <cell r="V414">
            <v>255</v>
          </cell>
          <cell r="W414">
            <v>799</v>
          </cell>
          <cell r="X414">
            <v>709</v>
          </cell>
          <cell r="Y414">
            <v>584</v>
          </cell>
          <cell r="Z414">
            <v>505</v>
          </cell>
          <cell r="AA414">
            <v>425</v>
          </cell>
          <cell r="AB414">
            <v>300</v>
          </cell>
          <cell r="AC414">
            <v>174</v>
          </cell>
        </row>
        <row r="415">
          <cell r="A415" t="str">
            <v>4-11-26</v>
          </cell>
          <cell r="B415">
            <v>1353</v>
          </cell>
          <cell r="C415">
            <v>1198</v>
          </cell>
          <cell r="D415">
            <v>983</v>
          </cell>
          <cell r="E415">
            <v>841</v>
          </cell>
          <cell r="F415">
            <v>699</v>
          </cell>
          <cell r="G415">
            <v>485</v>
          </cell>
          <cell r="H415">
            <v>270</v>
          </cell>
          <cell r="I415">
            <v>1016</v>
          </cell>
          <cell r="J415">
            <v>886</v>
          </cell>
          <cell r="K415">
            <v>714</v>
          </cell>
          <cell r="L415">
            <v>607</v>
          </cell>
          <cell r="M415">
            <v>500</v>
          </cell>
          <cell r="N415">
            <v>345</v>
          </cell>
          <cell r="O415">
            <v>190</v>
          </cell>
          <cell r="P415">
            <v>1015</v>
          </cell>
          <cell r="Q415">
            <v>917</v>
          </cell>
          <cell r="R415">
            <v>770</v>
          </cell>
          <cell r="S415">
            <v>669</v>
          </cell>
          <cell r="T415">
            <v>568</v>
          </cell>
          <cell r="U415">
            <v>402</v>
          </cell>
          <cell r="V415">
            <v>235</v>
          </cell>
          <cell r="W415">
            <v>762</v>
          </cell>
          <cell r="X415">
            <v>678</v>
          </cell>
          <cell r="Y415">
            <v>559</v>
          </cell>
          <cell r="Z415">
            <v>483</v>
          </cell>
          <cell r="AA415">
            <v>406</v>
          </cell>
          <cell r="AB415">
            <v>286</v>
          </cell>
          <cell r="AC415">
            <v>165</v>
          </cell>
        </row>
        <row r="416">
          <cell r="A416" t="str">
            <v>4-12-26</v>
          </cell>
          <cell r="B416">
            <v>1217</v>
          </cell>
          <cell r="C416">
            <v>1082</v>
          </cell>
          <cell r="D416">
            <v>892</v>
          </cell>
          <cell r="E416">
            <v>765</v>
          </cell>
          <cell r="F416">
            <v>637</v>
          </cell>
          <cell r="G416">
            <v>442</v>
          </cell>
          <cell r="H416">
            <v>246</v>
          </cell>
          <cell r="I416">
            <v>966</v>
          </cell>
          <cell r="J416">
            <v>843</v>
          </cell>
          <cell r="K416">
            <v>681</v>
          </cell>
          <cell r="L416">
            <v>579</v>
          </cell>
          <cell r="M416">
            <v>476</v>
          </cell>
          <cell r="N416">
            <v>329</v>
          </cell>
          <cell r="O416">
            <v>181</v>
          </cell>
          <cell r="P416">
            <v>912</v>
          </cell>
          <cell r="Q416">
            <v>828</v>
          </cell>
          <cell r="R416">
            <v>698</v>
          </cell>
          <cell r="S416">
            <v>608</v>
          </cell>
          <cell r="T416">
            <v>517</v>
          </cell>
          <cell r="U416">
            <v>366</v>
          </cell>
          <cell r="V416">
            <v>214</v>
          </cell>
          <cell r="W416">
            <v>724</v>
          </cell>
          <cell r="X416">
            <v>645</v>
          </cell>
          <cell r="Y416">
            <v>533</v>
          </cell>
          <cell r="Z416">
            <v>460</v>
          </cell>
          <cell r="AA416">
            <v>387</v>
          </cell>
          <cell r="AB416">
            <v>272</v>
          </cell>
          <cell r="AC416">
            <v>157</v>
          </cell>
        </row>
        <row r="417">
          <cell r="A417" t="str">
            <v>5-7-26</v>
          </cell>
          <cell r="B417">
            <v>1828</v>
          </cell>
          <cell r="C417">
            <v>1588</v>
          </cell>
          <cell r="D417">
            <v>1282</v>
          </cell>
          <cell r="E417">
            <v>1093</v>
          </cell>
          <cell r="F417">
            <v>904</v>
          </cell>
          <cell r="G417">
            <v>628</v>
          </cell>
          <cell r="H417">
            <v>352</v>
          </cell>
          <cell r="I417">
            <v>1210</v>
          </cell>
          <cell r="J417">
            <v>1043</v>
          </cell>
          <cell r="K417">
            <v>836</v>
          </cell>
          <cell r="L417">
            <v>711</v>
          </cell>
          <cell r="M417">
            <v>586</v>
          </cell>
          <cell r="N417">
            <v>406</v>
          </cell>
          <cell r="O417">
            <v>226</v>
          </cell>
          <cell r="P417">
            <v>1370</v>
          </cell>
          <cell r="Q417">
            <v>1215</v>
          </cell>
          <cell r="R417">
            <v>1004</v>
          </cell>
          <cell r="S417">
            <v>869</v>
          </cell>
          <cell r="T417">
            <v>734</v>
          </cell>
          <cell r="U417">
            <v>521</v>
          </cell>
          <cell r="V417">
            <v>307</v>
          </cell>
          <cell r="W417">
            <v>907</v>
          </cell>
          <cell r="X417">
            <v>798</v>
          </cell>
          <cell r="Y417">
            <v>654</v>
          </cell>
          <cell r="Z417">
            <v>565</v>
          </cell>
          <cell r="AA417">
            <v>475</v>
          </cell>
          <cell r="AB417">
            <v>336</v>
          </cell>
          <cell r="AC417">
            <v>197</v>
          </cell>
        </row>
        <row r="418">
          <cell r="A418" t="str">
            <v>5-8-26</v>
          </cell>
          <cell r="B418">
            <v>1714</v>
          </cell>
          <cell r="C418">
            <v>1495</v>
          </cell>
          <cell r="D418">
            <v>1211</v>
          </cell>
          <cell r="E418">
            <v>1033</v>
          </cell>
          <cell r="F418">
            <v>855</v>
          </cell>
          <cell r="G418">
            <v>594</v>
          </cell>
          <cell r="H418">
            <v>332</v>
          </cell>
          <cell r="I418">
            <v>1161</v>
          </cell>
          <cell r="J418">
            <v>1004</v>
          </cell>
          <cell r="K418">
            <v>807</v>
          </cell>
          <cell r="L418">
            <v>686</v>
          </cell>
          <cell r="M418">
            <v>564</v>
          </cell>
          <cell r="N418">
            <v>391</v>
          </cell>
          <cell r="O418">
            <v>217</v>
          </cell>
          <cell r="P418">
            <v>1285</v>
          </cell>
          <cell r="Q418">
            <v>1144</v>
          </cell>
          <cell r="R418">
            <v>948</v>
          </cell>
          <cell r="S418">
            <v>821</v>
          </cell>
          <cell r="T418">
            <v>694</v>
          </cell>
          <cell r="U418">
            <v>492</v>
          </cell>
          <cell r="V418">
            <v>289</v>
          </cell>
          <cell r="W418">
            <v>870</v>
          </cell>
          <cell r="X418">
            <v>768</v>
          </cell>
          <cell r="Y418">
            <v>632</v>
          </cell>
          <cell r="Z418">
            <v>545</v>
          </cell>
          <cell r="AA418">
            <v>458</v>
          </cell>
          <cell r="AB418">
            <v>324</v>
          </cell>
          <cell r="AC418">
            <v>189</v>
          </cell>
        </row>
        <row r="419">
          <cell r="A419" t="str">
            <v>5-9-26</v>
          </cell>
          <cell r="B419">
            <v>1598</v>
          </cell>
          <cell r="C419">
            <v>1398</v>
          </cell>
          <cell r="D419">
            <v>1138</v>
          </cell>
          <cell r="E419">
            <v>972</v>
          </cell>
          <cell r="F419">
            <v>805</v>
          </cell>
          <cell r="G419">
            <v>558</v>
          </cell>
          <cell r="H419">
            <v>311</v>
          </cell>
          <cell r="I419">
            <v>1112</v>
          </cell>
          <cell r="J419">
            <v>964</v>
          </cell>
          <cell r="K419">
            <v>775</v>
          </cell>
          <cell r="L419">
            <v>659</v>
          </cell>
          <cell r="M419">
            <v>543</v>
          </cell>
          <cell r="N419">
            <v>375</v>
          </cell>
          <cell r="O419">
            <v>207</v>
          </cell>
          <cell r="P419">
            <v>1198</v>
          </cell>
          <cell r="Q419">
            <v>1070</v>
          </cell>
          <cell r="R419">
            <v>891</v>
          </cell>
          <cell r="S419">
            <v>773</v>
          </cell>
          <cell r="T419">
            <v>654</v>
          </cell>
          <cell r="U419">
            <v>463</v>
          </cell>
          <cell r="V419">
            <v>271</v>
          </cell>
          <cell r="W419">
            <v>834</v>
          </cell>
          <cell r="X419">
            <v>738</v>
          </cell>
          <cell r="Y419">
            <v>607</v>
          </cell>
          <cell r="Z419">
            <v>524</v>
          </cell>
          <cell r="AA419">
            <v>441</v>
          </cell>
          <cell r="AB419">
            <v>311</v>
          </cell>
          <cell r="AC419">
            <v>180</v>
          </cell>
        </row>
        <row r="420">
          <cell r="A420" t="str">
            <v>5-10-26</v>
          </cell>
          <cell r="B420">
            <v>1477</v>
          </cell>
          <cell r="C420">
            <v>1299</v>
          </cell>
          <cell r="D420">
            <v>1061</v>
          </cell>
          <cell r="E420">
            <v>907</v>
          </cell>
          <cell r="F420">
            <v>752</v>
          </cell>
          <cell r="G420">
            <v>521</v>
          </cell>
          <cell r="H420">
            <v>290</v>
          </cell>
          <cell r="I420">
            <v>1065</v>
          </cell>
          <cell r="J420">
            <v>924</v>
          </cell>
          <cell r="K420">
            <v>745</v>
          </cell>
          <cell r="L420">
            <v>633</v>
          </cell>
          <cell r="M420">
            <v>521</v>
          </cell>
          <cell r="N420">
            <v>360</v>
          </cell>
          <cell r="O420">
            <v>198</v>
          </cell>
          <cell r="P420">
            <v>1107</v>
          </cell>
          <cell r="Q420">
            <v>994</v>
          </cell>
          <cell r="R420">
            <v>831</v>
          </cell>
          <cell r="S420">
            <v>721</v>
          </cell>
          <cell r="T420">
            <v>611</v>
          </cell>
          <cell r="U420">
            <v>432</v>
          </cell>
          <cell r="V420">
            <v>253</v>
          </cell>
          <cell r="W420">
            <v>798</v>
          </cell>
          <cell r="X420">
            <v>707</v>
          </cell>
          <cell r="Y420">
            <v>583</v>
          </cell>
          <cell r="Z420">
            <v>504</v>
          </cell>
          <cell r="AA420">
            <v>424</v>
          </cell>
          <cell r="AB420">
            <v>299</v>
          </cell>
          <cell r="AC420">
            <v>173</v>
          </cell>
        </row>
        <row r="421">
          <cell r="A421" t="str">
            <v>5-11-26</v>
          </cell>
          <cell r="B421">
            <v>1351</v>
          </cell>
          <cell r="C421">
            <v>1193</v>
          </cell>
          <cell r="D421">
            <v>979</v>
          </cell>
          <cell r="E421">
            <v>838</v>
          </cell>
          <cell r="F421">
            <v>697</v>
          </cell>
          <cell r="G421">
            <v>483</v>
          </cell>
          <cell r="H421">
            <v>268</v>
          </cell>
          <cell r="I421">
            <v>1016</v>
          </cell>
          <cell r="J421">
            <v>883</v>
          </cell>
          <cell r="K421">
            <v>713</v>
          </cell>
          <cell r="L421">
            <v>606</v>
          </cell>
          <cell r="M421">
            <v>499</v>
          </cell>
          <cell r="N421">
            <v>344</v>
          </cell>
          <cell r="O421">
            <v>189</v>
          </cell>
          <cell r="P421">
            <v>1013</v>
          </cell>
          <cell r="Q421">
            <v>913</v>
          </cell>
          <cell r="R421">
            <v>767</v>
          </cell>
          <cell r="S421">
            <v>667</v>
          </cell>
          <cell r="T421">
            <v>566</v>
          </cell>
          <cell r="U421">
            <v>400</v>
          </cell>
          <cell r="V421">
            <v>233</v>
          </cell>
          <cell r="W421">
            <v>762</v>
          </cell>
          <cell r="X421">
            <v>676</v>
          </cell>
          <cell r="Y421">
            <v>558</v>
          </cell>
          <cell r="Z421">
            <v>482</v>
          </cell>
          <cell r="AA421">
            <v>405</v>
          </cell>
          <cell r="AB421">
            <v>285</v>
          </cell>
          <cell r="AC421">
            <v>164</v>
          </cell>
        </row>
        <row r="422">
          <cell r="A422" t="str">
            <v>5-12-26</v>
          </cell>
          <cell r="B422">
            <v>1215</v>
          </cell>
          <cell r="C422">
            <v>1078</v>
          </cell>
          <cell r="D422">
            <v>890</v>
          </cell>
          <cell r="E422">
            <v>762</v>
          </cell>
          <cell r="F422">
            <v>634</v>
          </cell>
          <cell r="G422">
            <v>439</v>
          </cell>
          <cell r="H422">
            <v>243</v>
          </cell>
          <cell r="I422">
            <v>965</v>
          </cell>
          <cell r="J422">
            <v>841</v>
          </cell>
          <cell r="K422">
            <v>681</v>
          </cell>
          <cell r="L422">
            <v>578</v>
          </cell>
          <cell r="M422">
            <v>475</v>
          </cell>
          <cell r="N422">
            <v>327</v>
          </cell>
          <cell r="O422">
            <v>179</v>
          </cell>
          <cell r="P422">
            <v>910</v>
          </cell>
          <cell r="Q422">
            <v>825</v>
          </cell>
          <cell r="R422">
            <v>696</v>
          </cell>
          <cell r="S422">
            <v>606</v>
          </cell>
          <cell r="T422">
            <v>515</v>
          </cell>
          <cell r="U422">
            <v>364</v>
          </cell>
          <cell r="V422">
            <v>212</v>
          </cell>
          <cell r="W422">
            <v>723</v>
          </cell>
          <cell r="X422">
            <v>644</v>
          </cell>
          <cell r="Y422">
            <v>532</v>
          </cell>
          <cell r="Z422">
            <v>459</v>
          </cell>
          <cell r="AA422">
            <v>386</v>
          </cell>
          <cell r="AB422">
            <v>271</v>
          </cell>
          <cell r="AC422">
            <v>156</v>
          </cell>
        </row>
        <row r="423">
          <cell r="A423" t="str">
            <v>5-13-26</v>
          </cell>
          <cell r="B423">
            <v>1079</v>
          </cell>
          <cell r="C423">
            <v>955</v>
          </cell>
          <cell r="D423">
            <v>791</v>
          </cell>
          <cell r="E423">
            <v>679</v>
          </cell>
          <cell r="F423">
            <v>567</v>
          </cell>
          <cell r="G423">
            <v>391</v>
          </cell>
          <cell r="H423">
            <v>215</v>
          </cell>
          <cell r="I423">
            <v>920</v>
          </cell>
          <cell r="J423">
            <v>797</v>
          </cell>
          <cell r="K423">
            <v>646</v>
          </cell>
          <cell r="L423">
            <v>549</v>
          </cell>
          <cell r="M423">
            <v>452</v>
          </cell>
          <cell r="N423">
            <v>311</v>
          </cell>
          <cell r="O423">
            <v>169</v>
          </cell>
          <cell r="P423">
            <v>809</v>
          </cell>
          <cell r="Q423">
            <v>731</v>
          </cell>
          <cell r="R423">
            <v>619</v>
          </cell>
          <cell r="S423">
            <v>540</v>
          </cell>
          <cell r="T423">
            <v>460</v>
          </cell>
          <cell r="U423">
            <v>324</v>
          </cell>
          <cell r="V423">
            <v>187</v>
          </cell>
          <cell r="W423">
            <v>690</v>
          </cell>
          <cell r="X423">
            <v>610</v>
          </cell>
          <cell r="Y423">
            <v>506</v>
          </cell>
          <cell r="Z423">
            <v>436</v>
          </cell>
          <cell r="AA423">
            <v>366</v>
          </cell>
          <cell r="AB423">
            <v>257</v>
          </cell>
          <cell r="AC423">
            <v>147</v>
          </cell>
        </row>
        <row r="424">
          <cell r="A424" t="str">
            <v>6-8-26</v>
          </cell>
          <cell r="B424">
            <v>1712</v>
          </cell>
          <cell r="C424">
            <v>1491</v>
          </cell>
          <cell r="D424">
            <v>1206</v>
          </cell>
          <cell r="E424">
            <v>1028</v>
          </cell>
          <cell r="F424">
            <v>850</v>
          </cell>
          <cell r="G424">
            <v>590</v>
          </cell>
          <cell r="H424">
            <v>329</v>
          </cell>
          <cell r="I424">
            <v>1160</v>
          </cell>
          <cell r="J424">
            <v>1003</v>
          </cell>
          <cell r="K424">
            <v>804</v>
          </cell>
          <cell r="L424">
            <v>683</v>
          </cell>
          <cell r="M424">
            <v>562</v>
          </cell>
          <cell r="N424">
            <v>389</v>
          </cell>
          <cell r="O424">
            <v>216</v>
          </cell>
          <cell r="P424">
            <v>1283</v>
          </cell>
          <cell r="Q424">
            <v>1140</v>
          </cell>
          <cell r="R424">
            <v>944</v>
          </cell>
          <cell r="S424">
            <v>818</v>
          </cell>
          <cell r="T424">
            <v>691</v>
          </cell>
          <cell r="U424">
            <v>489</v>
          </cell>
          <cell r="V424">
            <v>286</v>
          </cell>
          <cell r="W424">
            <v>869</v>
          </cell>
          <cell r="X424">
            <v>767</v>
          </cell>
          <cell r="Y424">
            <v>630</v>
          </cell>
          <cell r="Z424">
            <v>544</v>
          </cell>
          <cell r="AA424">
            <v>457</v>
          </cell>
          <cell r="AB424">
            <v>323</v>
          </cell>
          <cell r="AC424">
            <v>188</v>
          </cell>
        </row>
        <row r="425">
          <cell r="A425" t="str">
            <v>6-9-26</v>
          </cell>
          <cell r="B425">
            <v>1593</v>
          </cell>
          <cell r="C425">
            <v>1393</v>
          </cell>
          <cell r="D425">
            <v>1132</v>
          </cell>
          <cell r="E425">
            <v>966</v>
          </cell>
          <cell r="F425">
            <v>799</v>
          </cell>
          <cell r="G425">
            <v>554</v>
          </cell>
          <cell r="H425">
            <v>308</v>
          </cell>
          <cell r="I425">
            <v>1110</v>
          </cell>
          <cell r="J425">
            <v>961</v>
          </cell>
          <cell r="K425">
            <v>773</v>
          </cell>
          <cell r="L425">
            <v>657</v>
          </cell>
          <cell r="M425">
            <v>541</v>
          </cell>
          <cell r="N425">
            <v>374</v>
          </cell>
          <cell r="O425">
            <v>206</v>
          </cell>
          <cell r="P425">
            <v>1194</v>
          </cell>
          <cell r="Q425">
            <v>1066</v>
          </cell>
          <cell r="R425">
            <v>886</v>
          </cell>
          <cell r="S425">
            <v>768</v>
          </cell>
          <cell r="T425">
            <v>649</v>
          </cell>
          <cell r="U425">
            <v>459</v>
          </cell>
          <cell r="V425">
            <v>268</v>
          </cell>
          <cell r="W425">
            <v>832</v>
          </cell>
          <cell r="X425">
            <v>736</v>
          </cell>
          <cell r="Y425">
            <v>605</v>
          </cell>
          <cell r="Z425">
            <v>522</v>
          </cell>
          <cell r="AA425">
            <v>439</v>
          </cell>
          <cell r="AB425">
            <v>310</v>
          </cell>
          <cell r="AC425">
            <v>180</v>
          </cell>
        </row>
        <row r="426">
          <cell r="A426" t="str">
            <v>6-10-26</v>
          </cell>
          <cell r="B426">
            <v>1472</v>
          </cell>
          <cell r="C426">
            <v>1292</v>
          </cell>
          <cell r="D426">
            <v>1055</v>
          </cell>
          <cell r="E426">
            <v>901</v>
          </cell>
          <cell r="F426">
            <v>747</v>
          </cell>
          <cell r="G426">
            <v>517</v>
          </cell>
          <cell r="H426">
            <v>287</v>
          </cell>
          <cell r="I426">
            <v>1063</v>
          </cell>
          <cell r="J426">
            <v>922</v>
          </cell>
          <cell r="K426">
            <v>742</v>
          </cell>
          <cell r="L426">
            <v>631</v>
          </cell>
          <cell r="M426">
            <v>519</v>
          </cell>
          <cell r="N426">
            <v>358</v>
          </cell>
          <cell r="O426">
            <v>197</v>
          </cell>
          <cell r="P426">
            <v>1103</v>
          </cell>
          <cell r="Q426">
            <v>989</v>
          </cell>
          <cell r="R426">
            <v>826</v>
          </cell>
          <cell r="S426">
            <v>717</v>
          </cell>
          <cell r="T426">
            <v>607</v>
          </cell>
          <cell r="U426">
            <v>429</v>
          </cell>
          <cell r="V426">
            <v>250</v>
          </cell>
          <cell r="W426">
            <v>796</v>
          </cell>
          <cell r="X426">
            <v>706</v>
          </cell>
          <cell r="Y426">
            <v>581</v>
          </cell>
          <cell r="Z426">
            <v>502</v>
          </cell>
          <cell r="AA426">
            <v>422</v>
          </cell>
          <cell r="AB426">
            <v>297</v>
          </cell>
          <cell r="AC426">
            <v>172</v>
          </cell>
        </row>
        <row r="427">
          <cell r="A427" t="str">
            <v>6-11-26</v>
          </cell>
          <cell r="B427">
            <v>1345</v>
          </cell>
          <cell r="C427">
            <v>1187</v>
          </cell>
          <cell r="D427">
            <v>974</v>
          </cell>
          <cell r="E427">
            <v>833</v>
          </cell>
          <cell r="F427">
            <v>692</v>
          </cell>
          <cell r="G427">
            <v>479</v>
          </cell>
          <cell r="H427">
            <v>265</v>
          </cell>
          <cell r="I427">
            <v>1013</v>
          </cell>
          <cell r="J427">
            <v>881</v>
          </cell>
          <cell r="K427">
            <v>712</v>
          </cell>
          <cell r="L427">
            <v>605</v>
          </cell>
          <cell r="M427">
            <v>498</v>
          </cell>
          <cell r="N427">
            <v>343</v>
          </cell>
          <cell r="O427">
            <v>187</v>
          </cell>
          <cell r="P427">
            <v>1009</v>
          </cell>
          <cell r="Q427">
            <v>908</v>
          </cell>
          <cell r="R427">
            <v>762</v>
          </cell>
          <cell r="S427">
            <v>662</v>
          </cell>
          <cell r="T427">
            <v>562</v>
          </cell>
          <cell r="U427">
            <v>397</v>
          </cell>
          <cell r="V427">
            <v>231</v>
          </cell>
          <cell r="W427">
            <v>760</v>
          </cell>
          <cell r="X427">
            <v>674</v>
          </cell>
          <cell r="Y427">
            <v>557</v>
          </cell>
          <cell r="Z427">
            <v>481</v>
          </cell>
          <cell r="AA427">
            <v>404</v>
          </cell>
          <cell r="AB427">
            <v>284</v>
          </cell>
          <cell r="AC427">
            <v>163</v>
          </cell>
        </row>
        <row r="428">
          <cell r="A428" t="str">
            <v>6-12-26</v>
          </cell>
          <cell r="B428">
            <v>1212</v>
          </cell>
          <cell r="C428">
            <v>1075</v>
          </cell>
          <cell r="D428">
            <v>886</v>
          </cell>
          <cell r="E428">
            <v>759</v>
          </cell>
          <cell r="F428">
            <v>631</v>
          </cell>
          <cell r="G428">
            <v>436</v>
          </cell>
          <cell r="H428">
            <v>241</v>
          </cell>
          <cell r="I428">
            <v>964</v>
          </cell>
          <cell r="J428">
            <v>839</v>
          </cell>
          <cell r="K428">
            <v>679</v>
          </cell>
          <cell r="L428">
            <v>577</v>
          </cell>
          <cell r="M428">
            <v>475</v>
          </cell>
          <cell r="N428">
            <v>327</v>
          </cell>
          <cell r="O428">
            <v>178</v>
          </cell>
          <cell r="P428">
            <v>908</v>
          </cell>
          <cell r="Q428">
            <v>822</v>
          </cell>
          <cell r="R428">
            <v>693</v>
          </cell>
          <cell r="S428">
            <v>603</v>
          </cell>
          <cell r="T428">
            <v>512</v>
          </cell>
          <cell r="U428">
            <v>361</v>
          </cell>
          <cell r="V428">
            <v>210</v>
          </cell>
          <cell r="W428">
            <v>722</v>
          </cell>
          <cell r="X428">
            <v>642</v>
          </cell>
          <cell r="Y428">
            <v>531</v>
          </cell>
          <cell r="Z428">
            <v>459</v>
          </cell>
          <cell r="AA428">
            <v>386</v>
          </cell>
          <cell r="AB428">
            <v>271</v>
          </cell>
          <cell r="AC428">
            <v>155</v>
          </cell>
        </row>
        <row r="429">
          <cell r="A429" t="str">
            <v>6-13-26</v>
          </cell>
          <cell r="B429">
            <v>1076</v>
          </cell>
          <cell r="C429">
            <v>952</v>
          </cell>
          <cell r="D429">
            <v>787</v>
          </cell>
          <cell r="E429">
            <v>675</v>
          </cell>
          <cell r="F429">
            <v>563</v>
          </cell>
          <cell r="G429">
            <v>390</v>
          </cell>
          <cell r="H429">
            <v>216</v>
          </cell>
          <cell r="I429">
            <v>919</v>
          </cell>
          <cell r="J429">
            <v>796</v>
          </cell>
          <cell r="K429">
            <v>645</v>
          </cell>
          <cell r="L429">
            <v>548</v>
          </cell>
          <cell r="M429">
            <v>451</v>
          </cell>
          <cell r="N429">
            <v>310</v>
          </cell>
          <cell r="O429">
            <v>169</v>
          </cell>
          <cell r="P429">
            <v>806</v>
          </cell>
          <cell r="Q429">
            <v>728</v>
          </cell>
          <cell r="R429">
            <v>616</v>
          </cell>
          <cell r="S429">
            <v>537</v>
          </cell>
          <cell r="T429">
            <v>457</v>
          </cell>
          <cell r="U429">
            <v>323</v>
          </cell>
          <cell r="V429">
            <v>188</v>
          </cell>
          <cell r="W429">
            <v>688</v>
          </cell>
          <cell r="X429">
            <v>609</v>
          </cell>
          <cell r="Y429">
            <v>505</v>
          </cell>
          <cell r="Z429">
            <v>436</v>
          </cell>
          <cell r="AA429">
            <v>366</v>
          </cell>
          <cell r="AB429">
            <v>257</v>
          </cell>
          <cell r="AC429">
            <v>147</v>
          </cell>
        </row>
        <row r="430">
          <cell r="A430" t="str">
            <v>6-14-26</v>
          </cell>
          <cell r="B430">
            <v>920</v>
          </cell>
          <cell r="C430">
            <v>820</v>
          </cell>
          <cell r="D430">
            <v>682</v>
          </cell>
          <cell r="E430">
            <v>586</v>
          </cell>
          <cell r="F430">
            <v>490</v>
          </cell>
          <cell r="G430">
            <v>338</v>
          </cell>
          <cell r="H430">
            <v>185</v>
          </cell>
          <cell r="I430">
            <v>864</v>
          </cell>
          <cell r="J430">
            <v>750</v>
          </cell>
          <cell r="K430">
            <v>609</v>
          </cell>
          <cell r="L430">
            <v>518</v>
          </cell>
          <cell r="M430">
            <v>426</v>
          </cell>
          <cell r="N430">
            <v>292</v>
          </cell>
          <cell r="O430">
            <v>158</v>
          </cell>
          <cell r="P430">
            <v>690</v>
          </cell>
          <cell r="Q430">
            <v>627</v>
          </cell>
          <cell r="R430">
            <v>534</v>
          </cell>
          <cell r="S430">
            <v>466</v>
          </cell>
          <cell r="T430">
            <v>398</v>
          </cell>
          <cell r="U430">
            <v>280</v>
          </cell>
          <cell r="V430">
            <v>161</v>
          </cell>
          <cell r="W430">
            <v>648</v>
          </cell>
          <cell r="X430">
            <v>574</v>
          </cell>
          <cell r="Y430">
            <v>477</v>
          </cell>
          <cell r="Z430">
            <v>412</v>
          </cell>
          <cell r="AA430">
            <v>346</v>
          </cell>
          <cell r="AB430">
            <v>242</v>
          </cell>
          <cell r="AC430">
            <v>138</v>
          </cell>
        </row>
        <row r="431">
          <cell r="A431" t="str">
            <v>7-9-26</v>
          </cell>
          <cell r="B431">
            <v>1590</v>
          </cell>
          <cell r="C431">
            <v>1388</v>
          </cell>
          <cell r="D431">
            <v>1126</v>
          </cell>
          <cell r="E431">
            <v>959</v>
          </cell>
          <cell r="F431">
            <v>792</v>
          </cell>
          <cell r="G431">
            <v>548</v>
          </cell>
          <cell r="H431">
            <v>304</v>
          </cell>
          <cell r="I431">
            <v>1110</v>
          </cell>
          <cell r="J431">
            <v>960</v>
          </cell>
          <cell r="K431">
            <v>771</v>
          </cell>
          <cell r="L431">
            <v>655</v>
          </cell>
          <cell r="M431">
            <v>538</v>
          </cell>
          <cell r="N431">
            <v>371</v>
          </cell>
          <cell r="O431">
            <v>204</v>
          </cell>
          <cell r="P431">
            <v>1192</v>
          </cell>
          <cell r="Q431">
            <v>1062</v>
          </cell>
          <cell r="R431">
            <v>881</v>
          </cell>
          <cell r="S431">
            <v>763</v>
          </cell>
          <cell r="T431">
            <v>644</v>
          </cell>
          <cell r="U431">
            <v>455</v>
          </cell>
          <cell r="V431">
            <v>265</v>
          </cell>
          <cell r="W431">
            <v>832</v>
          </cell>
          <cell r="X431">
            <v>734</v>
          </cell>
          <cell r="Y431">
            <v>603</v>
          </cell>
          <cell r="Z431">
            <v>520</v>
          </cell>
          <cell r="AA431">
            <v>437</v>
          </cell>
          <cell r="AB431">
            <v>308</v>
          </cell>
          <cell r="AC431">
            <v>178</v>
          </cell>
        </row>
        <row r="432">
          <cell r="A432" t="str">
            <v>7-10-26</v>
          </cell>
          <cell r="B432">
            <v>1466</v>
          </cell>
          <cell r="C432">
            <v>1287</v>
          </cell>
          <cell r="D432">
            <v>1048</v>
          </cell>
          <cell r="E432">
            <v>895</v>
          </cell>
          <cell r="F432">
            <v>741</v>
          </cell>
          <cell r="G432">
            <v>513</v>
          </cell>
          <cell r="H432">
            <v>284</v>
          </cell>
          <cell r="I432">
            <v>1060</v>
          </cell>
          <cell r="J432">
            <v>920</v>
          </cell>
          <cell r="K432">
            <v>740</v>
          </cell>
          <cell r="L432">
            <v>629</v>
          </cell>
          <cell r="M432">
            <v>517</v>
          </cell>
          <cell r="N432">
            <v>357</v>
          </cell>
          <cell r="O432">
            <v>196</v>
          </cell>
          <cell r="P432">
            <v>1099</v>
          </cell>
          <cell r="Q432">
            <v>985</v>
          </cell>
          <cell r="R432">
            <v>820</v>
          </cell>
          <cell r="S432">
            <v>711</v>
          </cell>
          <cell r="T432">
            <v>602</v>
          </cell>
          <cell r="U432">
            <v>425</v>
          </cell>
          <cell r="V432">
            <v>247</v>
          </cell>
          <cell r="W432">
            <v>795</v>
          </cell>
          <cell r="X432">
            <v>704</v>
          </cell>
          <cell r="Y432">
            <v>579</v>
          </cell>
          <cell r="Z432">
            <v>500</v>
          </cell>
          <cell r="AA432">
            <v>420</v>
          </cell>
          <cell r="AB432">
            <v>295</v>
          </cell>
          <cell r="AC432">
            <v>170</v>
          </cell>
        </row>
        <row r="433">
          <cell r="A433" t="str">
            <v>7-11-26</v>
          </cell>
          <cell r="B433">
            <v>1339</v>
          </cell>
          <cell r="C433">
            <v>1181</v>
          </cell>
          <cell r="D433">
            <v>966</v>
          </cell>
          <cell r="E433">
            <v>826</v>
          </cell>
          <cell r="F433">
            <v>686</v>
          </cell>
          <cell r="G433">
            <v>474</v>
          </cell>
          <cell r="H433">
            <v>262</v>
          </cell>
          <cell r="I433">
            <v>1010</v>
          </cell>
          <cell r="J433">
            <v>879</v>
          </cell>
          <cell r="K433">
            <v>708</v>
          </cell>
          <cell r="L433">
            <v>602</v>
          </cell>
          <cell r="M433">
            <v>495</v>
          </cell>
          <cell r="N433">
            <v>341</v>
          </cell>
          <cell r="O433">
            <v>186</v>
          </cell>
          <cell r="P433">
            <v>1003</v>
          </cell>
          <cell r="Q433">
            <v>903</v>
          </cell>
          <cell r="R433">
            <v>756</v>
          </cell>
          <cell r="S433">
            <v>657</v>
          </cell>
          <cell r="T433">
            <v>557</v>
          </cell>
          <cell r="U433">
            <v>393</v>
          </cell>
          <cell r="V433">
            <v>228</v>
          </cell>
          <cell r="W433">
            <v>757</v>
          </cell>
          <cell r="X433">
            <v>672</v>
          </cell>
          <cell r="Y433">
            <v>554</v>
          </cell>
          <cell r="Z433">
            <v>478</v>
          </cell>
          <cell r="AA433">
            <v>402</v>
          </cell>
          <cell r="AB433">
            <v>282</v>
          </cell>
          <cell r="AC433">
            <v>162</v>
          </cell>
        </row>
        <row r="434">
          <cell r="A434" t="str">
            <v>7-12-26</v>
          </cell>
          <cell r="B434">
            <v>1207</v>
          </cell>
          <cell r="C434">
            <v>1069</v>
          </cell>
          <cell r="D434">
            <v>880</v>
          </cell>
          <cell r="E434">
            <v>754</v>
          </cell>
          <cell r="F434">
            <v>627</v>
          </cell>
          <cell r="G434">
            <v>434</v>
          </cell>
          <cell r="H434">
            <v>240</v>
          </cell>
          <cell r="I434">
            <v>961</v>
          </cell>
          <cell r="J434">
            <v>838</v>
          </cell>
          <cell r="K434">
            <v>678</v>
          </cell>
          <cell r="L434">
            <v>576</v>
          </cell>
          <cell r="M434">
            <v>474</v>
          </cell>
          <cell r="N434">
            <v>326</v>
          </cell>
          <cell r="O434">
            <v>178</v>
          </cell>
          <cell r="P434">
            <v>905</v>
          </cell>
          <cell r="Q434">
            <v>818</v>
          </cell>
          <cell r="R434">
            <v>689</v>
          </cell>
          <cell r="S434">
            <v>599</v>
          </cell>
          <cell r="T434">
            <v>509</v>
          </cell>
          <cell r="U434">
            <v>359</v>
          </cell>
          <cell r="V434">
            <v>209</v>
          </cell>
          <cell r="W434">
            <v>721</v>
          </cell>
          <cell r="X434">
            <v>641</v>
          </cell>
          <cell r="Y434">
            <v>531</v>
          </cell>
          <cell r="Z434">
            <v>458</v>
          </cell>
          <cell r="AA434">
            <v>385</v>
          </cell>
          <cell r="AB434">
            <v>270</v>
          </cell>
          <cell r="AC434">
            <v>155</v>
          </cell>
        </row>
        <row r="435">
          <cell r="A435" t="str">
            <v>7-13-26</v>
          </cell>
          <cell r="B435">
            <v>1073</v>
          </cell>
          <cell r="C435">
            <v>947</v>
          </cell>
          <cell r="D435">
            <v>784</v>
          </cell>
          <cell r="E435">
            <v>672</v>
          </cell>
          <cell r="F435">
            <v>560</v>
          </cell>
          <cell r="G435">
            <v>387</v>
          </cell>
          <cell r="H435">
            <v>214</v>
          </cell>
          <cell r="I435">
            <v>917</v>
          </cell>
          <cell r="J435">
            <v>794</v>
          </cell>
          <cell r="K435">
            <v>644</v>
          </cell>
          <cell r="L435">
            <v>547</v>
          </cell>
          <cell r="M435">
            <v>450</v>
          </cell>
          <cell r="N435">
            <v>309</v>
          </cell>
          <cell r="O435">
            <v>167</v>
          </cell>
          <cell r="P435">
            <v>804</v>
          </cell>
          <cell r="Q435">
            <v>725</v>
          </cell>
          <cell r="R435">
            <v>613</v>
          </cell>
          <cell r="S435">
            <v>534</v>
          </cell>
          <cell r="T435">
            <v>455</v>
          </cell>
          <cell r="U435">
            <v>321</v>
          </cell>
          <cell r="V435">
            <v>186</v>
          </cell>
          <cell r="W435">
            <v>687</v>
          </cell>
          <cell r="X435">
            <v>608</v>
          </cell>
          <cell r="Y435">
            <v>504</v>
          </cell>
          <cell r="Z435">
            <v>435</v>
          </cell>
          <cell r="AA435">
            <v>365</v>
          </cell>
          <cell r="AB435">
            <v>255</v>
          </cell>
          <cell r="AC435">
            <v>145</v>
          </cell>
        </row>
        <row r="436">
          <cell r="A436" t="str">
            <v>7-14-26</v>
          </cell>
          <cell r="B436">
            <v>917</v>
          </cell>
          <cell r="C436">
            <v>816</v>
          </cell>
          <cell r="D436">
            <v>679</v>
          </cell>
          <cell r="E436">
            <v>584</v>
          </cell>
          <cell r="F436">
            <v>488</v>
          </cell>
          <cell r="G436">
            <v>336</v>
          </cell>
          <cell r="H436">
            <v>184</v>
          </cell>
          <cell r="I436">
            <v>862</v>
          </cell>
          <cell r="J436">
            <v>750</v>
          </cell>
          <cell r="K436">
            <v>608</v>
          </cell>
          <cell r="L436">
            <v>517</v>
          </cell>
          <cell r="M436">
            <v>425</v>
          </cell>
          <cell r="N436">
            <v>292</v>
          </cell>
          <cell r="O436">
            <v>158</v>
          </cell>
          <cell r="P436">
            <v>688</v>
          </cell>
          <cell r="Q436">
            <v>624</v>
          </cell>
          <cell r="R436">
            <v>532</v>
          </cell>
          <cell r="S436">
            <v>464</v>
          </cell>
          <cell r="T436">
            <v>396</v>
          </cell>
          <cell r="U436">
            <v>278</v>
          </cell>
          <cell r="V436">
            <v>160</v>
          </cell>
          <cell r="W436">
            <v>647</v>
          </cell>
          <cell r="X436">
            <v>573</v>
          </cell>
          <cell r="Y436">
            <v>477</v>
          </cell>
          <cell r="Z436">
            <v>411</v>
          </cell>
          <cell r="AA436">
            <v>345</v>
          </cell>
          <cell r="AB436">
            <v>242</v>
          </cell>
          <cell r="AC436">
            <v>138</v>
          </cell>
        </row>
        <row r="437">
          <cell r="A437" t="str">
            <v>7-15-26</v>
          </cell>
          <cell r="B437">
            <v>841</v>
          </cell>
          <cell r="C437">
            <v>740</v>
          </cell>
          <cell r="D437">
            <v>601</v>
          </cell>
          <cell r="E437">
            <v>511</v>
          </cell>
          <cell r="F437">
            <v>421</v>
          </cell>
          <cell r="G437">
            <v>289</v>
          </cell>
          <cell r="H437">
            <v>156</v>
          </cell>
          <cell r="I437">
            <v>841</v>
          </cell>
          <cell r="J437">
            <v>740</v>
          </cell>
          <cell r="K437">
            <v>601</v>
          </cell>
          <cell r="L437">
            <v>511</v>
          </cell>
          <cell r="M437">
            <v>421</v>
          </cell>
          <cell r="N437">
            <v>289</v>
          </cell>
          <cell r="O437">
            <v>156</v>
          </cell>
          <cell r="P437">
            <v>631</v>
          </cell>
          <cell r="Q437">
            <v>566</v>
          </cell>
          <cell r="R437">
            <v>471</v>
          </cell>
          <cell r="S437">
            <v>407</v>
          </cell>
          <cell r="T437">
            <v>342</v>
          </cell>
          <cell r="U437">
            <v>239</v>
          </cell>
          <cell r="V437">
            <v>136</v>
          </cell>
          <cell r="W437">
            <v>631</v>
          </cell>
          <cell r="X437">
            <v>566</v>
          </cell>
          <cell r="Y437">
            <v>471</v>
          </cell>
          <cell r="Z437">
            <v>407</v>
          </cell>
          <cell r="AA437">
            <v>342</v>
          </cell>
          <cell r="AB437">
            <v>239</v>
          </cell>
          <cell r="AC437">
            <v>136</v>
          </cell>
        </row>
        <row r="438">
          <cell r="A438" t="str">
            <v>8-10-26</v>
          </cell>
          <cell r="B438">
            <v>1462</v>
          </cell>
          <cell r="C438">
            <v>1281</v>
          </cell>
          <cell r="D438">
            <v>1040</v>
          </cell>
          <cell r="E438">
            <v>887</v>
          </cell>
          <cell r="F438">
            <v>733</v>
          </cell>
          <cell r="G438">
            <v>507</v>
          </cell>
          <cell r="H438">
            <v>280</v>
          </cell>
          <cell r="I438">
            <v>1058</v>
          </cell>
          <cell r="J438">
            <v>916</v>
          </cell>
          <cell r="K438">
            <v>737</v>
          </cell>
          <cell r="L438">
            <v>625</v>
          </cell>
          <cell r="M438">
            <v>512</v>
          </cell>
          <cell r="N438">
            <v>353</v>
          </cell>
          <cell r="O438">
            <v>194</v>
          </cell>
          <cell r="P438">
            <v>1096</v>
          </cell>
          <cell r="Q438">
            <v>980</v>
          </cell>
          <cell r="R438">
            <v>814</v>
          </cell>
          <cell r="S438">
            <v>705</v>
          </cell>
          <cell r="T438">
            <v>596</v>
          </cell>
          <cell r="U438">
            <v>420</v>
          </cell>
          <cell r="V438">
            <v>244</v>
          </cell>
          <cell r="W438">
            <v>793</v>
          </cell>
          <cell r="X438">
            <v>701</v>
          </cell>
          <cell r="Y438">
            <v>577</v>
          </cell>
          <cell r="Z438">
            <v>497</v>
          </cell>
          <cell r="AA438">
            <v>417</v>
          </cell>
          <cell r="AB438">
            <v>293</v>
          </cell>
          <cell r="AC438">
            <v>169</v>
          </cell>
        </row>
        <row r="439">
          <cell r="A439" t="str">
            <v>8-11-26</v>
          </cell>
          <cell r="B439">
            <v>1333</v>
          </cell>
          <cell r="C439">
            <v>1174</v>
          </cell>
          <cell r="D439">
            <v>959</v>
          </cell>
          <cell r="E439">
            <v>819</v>
          </cell>
          <cell r="F439">
            <v>678</v>
          </cell>
          <cell r="G439">
            <v>469</v>
          </cell>
          <cell r="H439">
            <v>259</v>
          </cell>
          <cell r="I439">
            <v>1009</v>
          </cell>
          <cell r="J439">
            <v>877</v>
          </cell>
          <cell r="K439">
            <v>706</v>
          </cell>
          <cell r="L439">
            <v>600</v>
          </cell>
          <cell r="M439">
            <v>493</v>
          </cell>
          <cell r="N439">
            <v>339</v>
          </cell>
          <cell r="O439">
            <v>185</v>
          </cell>
          <cell r="P439">
            <v>999</v>
          </cell>
          <cell r="Q439">
            <v>898</v>
          </cell>
          <cell r="R439">
            <v>751</v>
          </cell>
          <cell r="S439">
            <v>651</v>
          </cell>
          <cell r="T439">
            <v>551</v>
          </cell>
          <cell r="U439">
            <v>388</v>
          </cell>
          <cell r="V439">
            <v>225</v>
          </cell>
          <cell r="W439">
            <v>756</v>
          </cell>
          <cell r="X439">
            <v>670</v>
          </cell>
          <cell r="Y439">
            <v>553</v>
          </cell>
          <cell r="Z439">
            <v>477</v>
          </cell>
          <cell r="AA439">
            <v>400</v>
          </cell>
          <cell r="AB439">
            <v>281</v>
          </cell>
          <cell r="AC439">
            <v>161</v>
          </cell>
        </row>
        <row r="440">
          <cell r="A440" t="str">
            <v>8-12-26</v>
          </cell>
          <cell r="B440">
            <v>1200</v>
          </cell>
          <cell r="C440">
            <v>1062</v>
          </cell>
          <cell r="D440">
            <v>873</v>
          </cell>
          <cell r="E440">
            <v>747</v>
          </cell>
          <cell r="F440">
            <v>621</v>
          </cell>
          <cell r="G440">
            <v>429</v>
          </cell>
          <cell r="H440">
            <v>236</v>
          </cell>
          <cell r="I440">
            <v>959</v>
          </cell>
          <cell r="J440">
            <v>835</v>
          </cell>
          <cell r="K440">
            <v>675</v>
          </cell>
          <cell r="L440">
            <v>574</v>
          </cell>
          <cell r="M440">
            <v>472</v>
          </cell>
          <cell r="N440">
            <v>324</v>
          </cell>
          <cell r="O440">
            <v>176</v>
          </cell>
          <cell r="P440">
            <v>899</v>
          </cell>
          <cell r="Q440">
            <v>813</v>
          </cell>
          <cell r="R440">
            <v>683</v>
          </cell>
          <cell r="S440">
            <v>594</v>
          </cell>
          <cell r="T440">
            <v>504</v>
          </cell>
          <cell r="U440">
            <v>355</v>
          </cell>
          <cell r="V440">
            <v>206</v>
          </cell>
          <cell r="W440">
            <v>719</v>
          </cell>
          <cell r="X440">
            <v>639</v>
          </cell>
          <cell r="Y440">
            <v>528</v>
          </cell>
          <cell r="Z440">
            <v>456</v>
          </cell>
          <cell r="AA440">
            <v>383</v>
          </cell>
          <cell r="AB440">
            <v>269</v>
          </cell>
          <cell r="AC440">
            <v>154</v>
          </cell>
        </row>
        <row r="441">
          <cell r="A441" t="str">
            <v>8-13-26</v>
          </cell>
          <cell r="B441">
            <v>1068</v>
          </cell>
          <cell r="C441">
            <v>943</v>
          </cell>
          <cell r="D441">
            <v>780</v>
          </cell>
          <cell r="E441">
            <v>669</v>
          </cell>
          <cell r="F441">
            <v>557</v>
          </cell>
          <cell r="G441">
            <v>384</v>
          </cell>
          <cell r="H441">
            <v>211</v>
          </cell>
          <cell r="I441">
            <v>915</v>
          </cell>
          <cell r="J441">
            <v>793</v>
          </cell>
          <cell r="K441">
            <v>642</v>
          </cell>
          <cell r="L441">
            <v>546</v>
          </cell>
          <cell r="M441">
            <v>449</v>
          </cell>
          <cell r="N441">
            <v>308</v>
          </cell>
          <cell r="O441">
            <v>166</v>
          </cell>
          <cell r="P441">
            <v>801</v>
          </cell>
          <cell r="Q441">
            <v>722</v>
          </cell>
          <cell r="R441">
            <v>611</v>
          </cell>
          <cell r="S441">
            <v>532</v>
          </cell>
          <cell r="T441">
            <v>452</v>
          </cell>
          <cell r="U441">
            <v>318</v>
          </cell>
          <cell r="V441">
            <v>184</v>
          </cell>
          <cell r="W441">
            <v>687</v>
          </cell>
          <cell r="X441">
            <v>607</v>
          </cell>
          <cell r="Y441">
            <v>503</v>
          </cell>
          <cell r="Z441">
            <v>434</v>
          </cell>
          <cell r="AA441">
            <v>364</v>
          </cell>
          <cell r="AB441">
            <v>255</v>
          </cell>
          <cell r="AC441">
            <v>145</v>
          </cell>
        </row>
        <row r="442">
          <cell r="A442" t="str">
            <v>8-14-26</v>
          </cell>
          <cell r="B442">
            <v>914</v>
          </cell>
          <cell r="C442">
            <v>811</v>
          </cell>
          <cell r="D442">
            <v>675</v>
          </cell>
          <cell r="E442">
            <v>580</v>
          </cell>
          <cell r="F442">
            <v>484</v>
          </cell>
          <cell r="G442">
            <v>334</v>
          </cell>
          <cell r="H442">
            <v>183</v>
          </cell>
          <cell r="I442">
            <v>862</v>
          </cell>
          <cell r="J442">
            <v>747</v>
          </cell>
          <cell r="K442">
            <v>607</v>
          </cell>
          <cell r="L442">
            <v>516</v>
          </cell>
          <cell r="M442">
            <v>424</v>
          </cell>
          <cell r="N442">
            <v>291</v>
          </cell>
          <cell r="O442">
            <v>157</v>
          </cell>
          <cell r="P442">
            <v>685</v>
          </cell>
          <cell r="Q442">
            <v>621</v>
          </cell>
          <cell r="R442">
            <v>529</v>
          </cell>
          <cell r="S442">
            <v>461</v>
          </cell>
          <cell r="T442">
            <v>393</v>
          </cell>
          <cell r="U442">
            <v>277</v>
          </cell>
          <cell r="V442">
            <v>160</v>
          </cell>
          <cell r="W442">
            <v>646</v>
          </cell>
          <cell r="X442">
            <v>572</v>
          </cell>
          <cell r="Y442">
            <v>476</v>
          </cell>
          <cell r="Z442">
            <v>410</v>
          </cell>
          <cell r="AA442">
            <v>344</v>
          </cell>
          <cell r="AB442">
            <v>241</v>
          </cell>
          <cell r="AC442">
            <v>137</v>
          </cell>
        </row>
        <row r="443">
          <cell r="A443" t="str">
            <v>8-15-26</v>
          </cell>
          <cell r="B443">
            <v>835</v>
          </cell>
          <cell r="C443">
            <v>741</v>
          </cell>
          <cell r="D443">
            <v>596</v>
          </cell>
          <cell r="E443">
            <v>507</v>
          </cell>
          <cell r="F443">
            <v>417</v>
          </cell>
          <cell r="G443">
            <v>286</v>
          </cell>
          <cell r="H443">
            <v>155</v>
          </cell>
          <cell r="I443">
            <v>835</v>
          </cell>
          <cell r="J443">
            <v>741</v>
          </cell>
          <cell r="K443">
            <v>596</v>
          </cell>
          <cell r="L443">
            <v>507</v>
          </cell>
          <cell r="M443">
            <v>417</v>
          </cell>
          <cell r="N443">
            <v>286</v>
          </cell>
          <cell r="O443">
            <v>155</v>
          </cell>
          <cell r="P443">
            <v>626</v>
          </cell>
          <cell r="Q443">
            <v>567</v>
          </cell>
          <cell r="R443">
            <v>467</v>
          </cell>
          <cell r="S443">
            <v>403</v>
          </cell>
          <cell r="T443">
            <v>339</v>
          </cell>
          <cell r="U443">
            <v>237</v>
          </cell>
          <cell r="V443">
            <v>135</v>
          </cell>
          <cell r="W443">
            <v>626</v>
          </cell>
          <cell r="X443">
            <v>567</v>
          </cell>
          <cell r="Y443">
            <v>467</v>
          </cell>
          <cell r="Z443">
            <v>403</v>
          </cell>
          <cell r="AA443">
            <v>339</v>
          </cell>
          <cell r="AB443">
            <v>237</v>
          </cell>
          <cell r="AC443">
            <v>135</v>
          </cell>
        </row>
        <row r="444">
          <cell r="A444" t="str">
            <v>8-16-26</v>
          </cell>
          <cell r="B444">
            <v>781</v>
          </cell>
          <cell r="C444">
            <v>695</v>
          </cell>
          <cell r="D444">
            <v>564</v>
          </cell>
          <cell r="E444">
            <v>480</v>
          </cell>
          <cell r="F444">
            <v>395</v>
          </cell>
          <cell r="G444">
            <v>271</v>
          </cell>
          <cell r="H444">
            <v>146</v>
          </cell>
          <cell r="I444">
            <v>781</v>
          </cell>
          <cell r="J444">
            <v>695</v>
          </cell>
          <cell r="K444">
            <v>564</v>
          </cell>
          <cell r="L444">
            <v>480</v>
          </cell>
          <cell r="M444">
            <v>395</v>
          </cell>
          <cell r="N444">
            <v>271</v>
          </cell>
          <cell r="O444">
            <v>146</v>
          </cell>
          <cell r="P444">
            <v>585</v>
          </cell>
          <cell r="Q444">
            <v>532</v>
          </cell>
          <cell r="R444">
            <v>441</v>
          </cell>
          <cell r="S444">
            <v>381</v>
          </cell>
          <cell r="T444">
            <v>321</v>
          </cell>
          <cell r="U444">
            <v>225</v>
          </cell>
          <cell r="V444">
            <v>128</v>
          </cell>
          <cell r="W444">
            <v>585</v>
          </cell>
          <cell r="X444">
            <v>532</v>
          </cell>
          <cell r="Y444">
            <v>441</v>
          </cell>
          <cell r="Z444">
            <v>381</v>
          </cell>
          <cell r="AA444">
            <v>321</v>
          </cell>
          <cell r="AB444">
            <v>225</v>
          </cell>
          <cell r="AC444">
            <v>128</v>
          </cell>
        </row>
        <row r="445">
          <cell r="A445" t="str">
            <v>9-11-26</v>
          </cell>
          <cell r="B445">
            <v>1327</v>
          </cell>
          <cell r="C445">
            <v>1166</v>
          </cell>
          <cell r="D445">
            <v>952</v>
          </cell>
          <cell r="E445">
            <v>812</v>
          </cell>
          <cell r="F445">
            <v>672</v>
          </cell>
          <cell r="G445">
            <v>464</v>
          </cell>
          <cell r="H445">
            <v>255</v>
          </cell>
          <cell r="I445">
            <v>1007</v>
          </cell>
          <cell r="J445">
            <v>874</v>
          </cell>
          <cell r="K445">
            <v>704</v>
          </cell>
          <cell r="L445">
            <v>597</v>
          </cell>
          <cell r="M445">
            <v>490</v>
          </cell>
          <cell r="N445">
            <v>337</v>
          </cell>
          <cell r="O445">
            <v>183</v>
          </cell>
          <cell r="P445">
            <v>995</v>
          </cell>
          <cell r="Q445">
            <v>892</v>
          </cell>
          <cell r="R445">
            <v>745</v>
          </cell>
          <cell r="S445">
            <v>646</v>
          </cell>
          <cell r="T445">
            <v>546</v>
          </cell>
          <cell r="U445">
            <v>384</v>
          </cell>
          <cell r="V445">
            <v>222</v>
          </cell>
          <cell r="W445">
            <v>755</v>
          </cell>
          <cell r="X445">
            <v>669</v>
          </cell>
          <cell r="Y445">
            <v>551</v>
          </cell>
          <cell r="Z445">
            <v>475</v>
          </cell>
          <cell r="AA445">
            <v>398</v>
          </cell>
          <cell r="AB445">
            <v>279</v>
          </cell>
          <cell r="AC445">
            <v>160</v>
          </cell>
        </row>
        <row r="446">
          <cell r="A446" t="str">
            <v>9-12-26</v>
          </cell>
          <cell r="B446">
            <v>1192</v>
          </cell>
          <cell r="C446">
            <v>1054</v>
          </cell>
          <cell r="D446">
            <v>864</v>
          </cell>
          <cell r="E446">
            <v>739</v>
          </cell>
          <cell r="F446">
            <v>613</v>
          </cell>
          <cell r="G446">
            <v>423</v>
          </cell>
          <cell r="H446">
            <v>233</v>
          </cell>
          <cell r="I446">
            <v>957</v>
          </cell>
          <cell r="J446">
            <v>833</v>
          </cell>
          <cell r="K446">
            <v>672</v>
          </cell>
          <cell r="L446">
            <v>570</v>
          </cell>
          <cell r="M446">
            <v>468</v>
          </cell>
          <cell r="N446">
            <v>322</v>
          </cell>
          <cell r="O446">
            <v>175</v>
          </cell>
          <cell r="P446">
            <v>894</v>
          </cell>
          <cell r="Q446">
            <v>807</v>
          </cell>
          <cell r="R446">
            <v>677</v>
          </cell>
          <cell r="S446">
            <v>588</v>
          </cell>
          <cell r="T446">
            <v>498</v>
          </cell>
          <cell r="U446">
            <v>351</v>
          </cell>
          <cell r="V446">
            <v>203</v>
          </cell>
          <cell r="W446">
            <v>718</v>
          </cell>
          <cell r="X446">
            <v>638</v>
          </cell>
          <cell r="Y446">
            <v>526</v>
          </cell>
          <cell r="Z446">
            <v>453</v>
          </cell>
          <cell r="AA446">
            <v>380</v>
          </cell>
          <cell r="AB446">
            <v>266</v>
          </cell>
          <cell r="AC446">
            <v>152</v>
          </cell>
        </row>
        <row r="447">
          <cell r="A447" t="str">
            <v>9-13-26</v>
          </cell>
          <cell r="B447">
            <v>1062</v>
          </cell>
          <cell r="C447">
            <v>936</v>
          </cell>
          <cell r="D447">
            <v>773</v>
          </cell>
          <cell r="E447">
            <v>663</v>
          </cell>
          <cell r="F447">
            <v>552</v>
          </cell>
          <cell r="G447">
            <v>381</v>
          </cell>
          <cell r="H447">
            <v>210</v>
          </cell>
          <cell r="I447">
            <v>914</v>
          </cell>
          <cell r="J447">
            <v>791</v>
          </cell>
          <cell r="K447">
            <v>640</v>
          </cell>
          <cell r="L447">
            <v>544</v>
          </cell>
          <cell r="M447">
            <v>447</v>
          </cell>
          <cell r="N447">
            <v>307</v>
          </cell>
          <cell r="O447">
            <v>166</v>
          </cell>
          <cell r="P447">
            <v>796</v>
          </cell>
          <cell r="Q447">
            <v>716</v>
          </cell>
          <cell r="R447">
            <v>605</v>
          </cell>
          <cell r="S447">
            <v>527</v>
          </cell>
          <cell r="T447">
            <v>448</v>
          </cell>
          <cell r="U447">
            <v>316</v>
          </cell>
          <cell r="V447">
            <v>183</v>
          </cell>
          <cell r="W447">
            <v>685</v>
          </cell>
          <cell r="X447">
            <v>605</v>
          </cell>
          <cell r="Y447">
            <v>501</v>
          </cell>
          <cell r="Z447">
            <v>432</v>
          </cell>
          <cell r="AA447">
            <v>362</v>
          </cell>
          <cell r="AB447">
            <v>254</v>
          </cell>
          <cell r="AC447">
            <v>145</v>
          </cell>
        </row>
        <row r="448">
          <cell r="A448" t="str">
            <v>9-14-26</v>
          </cell>
          <cell r="B448">
            <v>909</v>
          </cell>
          <cell r="C448">
            <v>807</v>
          </cell>
          <cell r="D448">
            <v>671</v>
          </cell>
          <cell r="E448">
            <v>576</v>
          </cell>
          <cell r="F448">
            <v>481</v>
          </cell>
          <cell r="G448">
            <v>333</v>
          </cell>
          <cell r="H448">
            <v>184</v>
          </cell>
          <cell r="I448">
            <v>859</v>
          </cell>
          <cell r="J448">
            <v>747</v>
          </cell>
          <cell r="K448">
            <v>606</v>
          </cell>
          <cell r="L448">
            <v>515</v>
          </cell>
          <cell r="M448">
            <v>423</v>
          </cell>
          <cell r="N448">
            <v>291</v>
          </cell>
          <cell r="O448">
            <v>158</v>
          </cell>
          <cell r="P448">
            <v>682</v>
          </cell>
          <cell r="Q448">
            <v>617</v>
          </cell>
          <cell r="R448">
            <v>525</v>
          </cell>
          <cell r="S448">
            <v>458</v>
          </cell>
          <cell r="T448">
            <v>391</v>
          </cell>
          <cell r="U448">
            <v>276</v>
          </cell>
          <cell r="V448">
            <v>160</v>
          </cell>
          <cell r="W448">
            <v>645</v>
          </cell>
          <cell r="X448">
            <v>571</v>
          </cell>
          <cell r="Y448">
            <v>475</v>
          </cell>
          <cell r="Z448">
            <v>410</v>
          </cell>
          <cell r="AA448">
            <v>344</v>
          </cell>
          <cell r="AB448">
            <v>241</v>
          </cell>
          <cell r="AC448">
            <v>138</v>
          </cell>
        </row>
        <row r="449">
          <cell r="A449" t="str">
            <v>9-15-26</v>
          </cell>
          <cell r="B449">
            <v>828</v>
          </cell>
          <cell r="C449">
            <v>734</v>
          </cell>
          <cell r="D449">
            <v>591</v>
          </cell>
          <cell r="E449">
            <v>503</v>
          </cell>
          <cell r="F449">
            <v>414</v>
          </cell>
          <cell r="G449">
            <v>284</v>
          </cell>
          <cell r="H449">
            <v>153</v>
          </cell>
          <cell r="I449">
            <v>828</v>
          </cell>
          <cell r="J449">
            <v>734</v>
          </cell>
          <cell r="K449">
            <v>591</v>
          </cell>
          <cell r="L449">
            <v>503</v>
          </cell>
          <cell r="M449">
            <v>414</v>
          </cell>
          <cell r="N449">
            <v>284</v>
          </cell>
          <cell r="O449">
            <v>153</v>
          </cell>
          <cell r="P449">
            <v>621</v>
          </cell>
          <cell r="Q449">
            <v>561</v>
          </cell>
          <cell r="R449">
            <v>463</v>
          </cell>
          <cell r="S449">
            <v>400</v>
          </cell>
          <cell r="T449">
            <v>336</v>
          </cell>
          <cell r="U449">
            <v>235</v>
          </cell>
          <cell r="V449">
            <v>133</v>
          </cell>
          <cell r="W449">
            <v>621</v>
          </cell>
          <cell r="X449">
            <v>561</v>
          </cell>
          <cell r="Y449">
            <v>463</v>
          </cell>
          <cell r="Z449">
            <v>400</v>
          </cell>
          <cell r="AA449">
            <v>336</v>
          </cell>
          <cell r="AB449">
            <v>235</v>
          </cell>
          <cell r="AC449">
            <v>133</v>
          </cell>
        </row>
        <row r="450">
          <cell r="A450" t="str">
            <v>9-16-26</v>
          </cell>
          <cell r="B450">
            <v>775</v>
          </cell>
          <cell r="C450">
            <v>690</v>
          </cell>
          <cell r="D450">
            <v>559</v>
          </cell>
          <cell r="E450">
            <v>476</v>
          </cell>
          <cell r="F450">
            <v>392</v>
          </cell>
          <cell r="G450">
            <v>269</v>
          </cell>
          <cell r="H450">
            <v>146</v>
          </cell>
          <cell r="I450">
            <v>775</v>
          </cell>
          <cell r="J450">
            <v>690</v>
          </cell>
          <cell r="K450">
            <v>559</v>
          </cell>
          <cell r="L450">
            <v>476</v>
          </cell>
          <cell r="M450">
            <v>392</v>
          </cell>
          <cell r="N450">
            <v>269</v>
          </cell>
          <cell r="O450">
            <v>146</v>
          </cell>
          <cell r="P450">
            <v>581</v>
          </cell>
          <cell r="Q450">
            <v>528</v>
          </cell>
          <cell r="R450">
            <v>437</v>
          </cell>
          <cell r="S450">
            <v>378</v>
          </cell>
          <cell r="T450">
            <v>319</v>
          </cell>
          <cell r="U450">
            <v>224</v>
          </cell>
          <cell r="V450">
            <v>128</v>
          </cell>
          <cell r="W450">
            <v>581</v>
          </cell>
          <cell r="X450">
            <v>528</v>
          </cell>
          <cell r="Y450">
            <v>437</v>
          </cell>
          <cell r="Z450">
            <v>378</v>
          </cell>
          <cell r="AA450">
            <v>319</v>
          </cell>
          <cell r="AB450">
            <v>224</v>
          </cell>
          <cell r="AC450">
            <v>128</v>
          </cell>
        </row>
        <row r="451">
          <cell r="A451" t="str">
            <v>9-17-26</v>
          </cell>
          <cell r="B451">
            <v>719</v>
          </cell>
          <cell r="C451">
            <v>641</v>
          </cell>
          <cell r="D451">
            <v>528</v>
          </cell>
          <cell r="E451">
            <v>451</v>
          </cell>
          <cell r="F451">
            <v>374</v>
          </cell>
          <cell r="G451">
            <v>255</v>
          </cell>
          <cell r="H451">
            <v>136</v>
          </cell>
          <cell r="I451">
            <v>719</v>
          </cell>
          <cell r="J451">
            <v>641</v>
          </cell>
          <cell r="K451">
            <v>528</v>
          </cell>
          <cell r="L451">
            <v>451</v>
          </cell>
          <cell r="M451">
            <v>374</v>
          </cell>
          <cell r="N451">
            <v>255</v>
          </cell>
          <cell r="O451">
            <v>136</v>
          </cell>
          <cell r="P451">
            <v>539</v>
          </cell>
          <cell r="Q451">
            <v>491</v>
          </cell>
          <cell r="R451">
            <v>413</v>
          </cell>
          <cell r="S451">
            <v>359</v>
          </cell>
          <cell r="T451">
            <v>304</v>
          </cell>
          <cell r="U451">
            <v>211</v>
          </cell>
          <cell r="V451">
            <v>118</v>
          </cell>
          <cell r="W451">
            <v>539</v>
          </cell>
          <cell r="X451">
            <v>491</v>
          </cell>
          <cell r="Y451">
            <v>413</v>
          </cell>
          <cell r="Z451">
            <v>359</v>
          </cell>
          <cell r="AA451">
            <v>304</v>
          </cell>
          <cell r="AB451">
            <v>211</v>
          </cell>
          <cell r="AC451">
            <v>118</v>
          </cell>
        </row>
        <row r="452">
          <cell r="A452" t="str">
            <v>10-12-26</v>
          </cell>
          <cell r="B452">
            <v>1186</v>
          </cell>
          <cell r="C452">
            <v>1046</v>
          </cell>
          <cell r="D452">
            <v>855</v>
          </cell>
          <cell r="E452">
            <v>731</v>
          </cell>
          <cell r="F452">
            <v>606</v>
          </cell>
          <cell r="G452">
            <v>418</v>
          </cell>
          <cell r="H452">
            <v>229</v>
          </cell>
          <cell r="I452">
            <v>954</v>
          </cell>
          <cell r="J452">
            <v>830</v>
          </cell>
          <cell r="K452">
            <v>668</v>
          </cell>
          <cell r="L452">
            <v>567</v>
          </cell>
          <cell r="M452">
            <v>465</v>
          </cell>
          <cell r="N452">
            <v>319</v>
          </cell>
          <cell r="O452">
            <v>173</v>
          </cell>
          <cell r="P452">
            <v>889</v>
          </cell>
          <cell r="Q452">
            <v>800</v>
          </cell>
          <cell r="R452">
            <v>670</v>
          </cell>
          <cell r="S452">
            <v>581</v>
          </cell>
          <cell r="T452">
            <v>492</v>
          </cell>
          <cell r="U452">
            <v>346</v>
          </cell>
          <cell r="V452">
            <v>199</v>
          </cell>
          <cell r="W452">
            <v>715</v>
          </cell>
          <cell r="X452">
            <v>634</v>
          </cell>
          <cell r="Y452">
            <v>523</v>
          </cell>
          <cell r="Z452">
            <v>451</v>
          </cell>
          <cell r="AA452">
            <v>378</v>
          </cell>
          <cell r="AB452">
            <v>265</v>
          </cell>
          <cell r="AC452">
            <v>151</v>
          </cell>
        </row>
        <row r="453">
          <cell r="A453" t="str">
            <v>10-13-26</v>
          </cell>
          <cell r="B453">
            <v>1053</v>
          </cell>
          <cell r="C453">
            <v>926</v>
          </cell>
          <cell r="D453">
            <v>764</v>
          </cell>
          <cell r="E453">
            <v>654</v>
          </cell>
          <cell r="F453">
            <v>544</v>
          </cell>
          <cell r="G453">
            <v>375</v>
          </cell>
          <cell r="H453">
            <v>206</v>
          </cell>
          <cell r="I453">
            <v>910</v>
          </cell>
          <cell r="J453">
            <v>787</v>
          </cell>
          <cell r="K453">
            <v>636</v>
          </cell>
          <cell r="L453">
            <v>541</v>
          </cell>
          <cell r="M453">
            <v>445</v>
          </cell>
          <cell r="N453">
            <v>305</v>
          </cell>
          <cell r="O453">
            <v>164</v>
          </cell>
          <cell r="P453">
            <v>790</v>
          </cell>
          <cell r="Q453">
            <v>709</v>
          </cell>
          <cell r="R453">
            <v>598</v>
          </cell>
          <cell r="S453">
            <v>520</v>
          </cell>
          <cell r="T453">
            <v>442</v>
          </cell>
          <cell r="U453">
            <v>311</v>
          </cell>
          <cell r="V453">
            <v>180</v>
          </cell>
          <cell r="W453">
            <v>683</v>
          </cell>
          <cell r="X453">
            <v>603</v>
          </cell>
          <cell r="Y453">
            <v>498</v>
          </cell>
          <cell r="Z453">
            <v>430</v>
          </cell>
          <cell r="AA453">
            <v>362</v>
          </cell>
          <cell r="AB453">
            <v>253</v>
          </cell>
          <cell r="AC453">
            <v>144</v>
          </cell>
        </row>
        <row r="454">
          <cell r="A454" t="str">
            <v>10-14-26</v>
          </cell>
          <cell r="B454">
            <v>905</v>
          </cell>
          <cell r="C454">
            <v>802</v>
          </cell>
          <cell r="D454">
            <v>666</v>
          </cell>
          <cell r="E454">
            <v>571</v>
          </cell>
          <cell r="F454">
            <v>476</v>
          </cell>
          <cell r="G454">
            <v>329</v>
          </cell>
          <cell r="H454">
            <v>181</v>
          </cell>
          <cell r="I454">
            <v>859</v>
          </cell>
          <cell r="J454">
            <v>745</v>
          </cell>
          <cell r="K454">
            <v>604</v>
          </cell>
          <cell r="L454">
            <v>513</v>
          </cell>
          <cell r="M454">
            <v>421</v>
          </cell>
          <cell r="N454">
            <v>289</v>
          </cell>
          <cell r="O454">
            <v>156</v>
          </cell>
          <cell r="P454">
            <v>678</v>
          </cell>
          <cell r="Q454">
            <v>614</v>
          </cell>
          <cell r="R454">
            <v>521</v>
          </cell>
          <cell r="S454">
            <v>454</v>
          </cell>
          <cell r="T454">
            <v>387</v>
          </cell>
          <cell r="U454">
            <v>272</v>
          </cell>
          <cell r="V454">
            <v>157</v>
          </cell>
          <cell r="W454">
            <v>644</v>
          </cell>
          <cell r="X454">
            <v>570</v>
          </cell>
          <cell r="Y454">
            <v>472</v>
          </cell>
          <cell r="Z454">
            <v>407</v>
          </cell>
          <cell r="AA454">
            <v>342</v>
          </cell>
          <cell r="AB454">
            <v>239</v>
          </cell>
          <cell r="AC454">
            <v>135</v>
          </cell>
        </row>
        <row r="455">
          <cell r="A455" t="str">
            <v>10-15-26</v>
          </cell>
          <cell r="B455">
            <v>821</v>
          </cell>
          <cell r="C455">
            <v>727</v>
          </cell>
          <cell r="D455">
            <v>586</v>
          </cell>
          <cell r="E455">
            <v>498</v>
          </cell>
          <cell r="F455">
            <v>410</v>
          </cell>
          <cell r="G455">
            <v>281</v>
          </cell>
          <cell r="H455">
            <v>151</v>
          </cell>
          <cell r="I455">
            <v>821</v>
          </cell>
          <cell r="J455">
            <v>727</v>
          </cell>
          <cell r="K455">
            <v>586</v>
          </cell>
          <cell r="L455">
            <v>498</v>
          </cell>
          <cell r="M455">
            <v>410</v>
          </cell>
          <cell r="N455">
            <v>281</v>
          </cell>
          <cell r="O455">
            <v>151</v>
          </cell>
          <cell r="P455">
            <v>616</v>
          </cell>
          <cell r="Q455">
            <v>556</v>
          </cell>
          <cell r="R455">
            <v>458</v>
          </cell>
          <cell r="S455">
            <v>396</v>
          </cell>
          <cell r="T455">
            <v>333</v>
          </cell>
          <cell r="U455">
            <v>233</v>
          </cell>
          <cell r="V455">
            <v>132</v>
          </cell>
          <cell r="W455">
            <v>616</v>
          </cell>
          <cell r="X455">
            <v>556</v>
          </cell>
          <cell r="Y455">
            <v>458</v>
          </cell>
          <cell r="Z455">
            <v>396</v>
          </cell>
          <cell r="AA455">
            <v>333</v>
          </cell>
          <cell r="AB455">
            <v>233</v>
          </cell>
          <cell r="AC455">
            <v>132</v>
          </cell>
        </row>
        <row r="456">
          <cell r="A456" t="str">
            <v>10-16-26</v>
          </cell>
          <cell r="B456">
            <v>768</v>
          </cell>
          <cell r="C456">
            <v>682</v>
          </cell>
          <cell r="D456">
            <v>552</v>
          </cell>
          <cell r="E456">
            <v>471</v>
          </cell>
          <cell r="F456">
            <v>389</v>
          </cell>
          <cell r="G456">
            <v>266</v>
          </cell>
          <cell r="H456">
            <v>143</v>
          </cell>
          <cell r="I456">
            <v>768</v>
          </cell>
          <cell r="J456">
            <v>682</v>
          </cell>
          <cell r="K456">
            <v>552</v>
          </cell>
          <cell r="L456">
            <v>471</v>
          </cell>
          <cell r="M456">
            <v>389</v>
          </cell>
          <cell r="N456">
            <v>266</v>
          </cell>
          <cell r="O456">
            <v>143</v>
          </cell>
          <cell r="P456">
            <v>576</v>
          </cell>
          <cell r="Q456">
            <v>522</v>
          </cell>
          <cell r="R456">
            <v>432</v>
          </cell>
          <cell r="S456">
            <v>374</v>
          </cell>
          <cell r="T456">
            <v>316</v>
          </cell>
          <cell r="U456">
            <v>221</v>
          </cell>
          <cell r="V456">
            <v>125</v>
          </cell>
          <cell r="W456">
            <v>576</v>
          </cell>
          <cell r="X456">
            <v>522</v>
          </cell>
          <cell r="Y456">
            <v>432</v>
          </cell>
          <cell r="Z456">
            <v>374</v>
          </cell>
          <cell r="AA456">
            <v>316</v>
          </cell>
          <cell r="AB456">
            <v>221</v>
          </cell>
          <cell r="AC456">
            <v>125</v>
          </cell>
        </row>
        <row r="457">
          <cell r="A457" t="str">
            <v>10-17-26</v>
          </cell>
          <cell r="B457">
            <v>715</v>
          </cell>
          <cell r="C457">
            <v>638</v>
          </cell>
          <cell r="D457">
            <v>525</v>
          </cell>
          <cell r="E457">
            <v>446</v>
          </cell>
          <cell r="F457">
            <v>366</v>
          </cell>
          <cell r="G457">
            <v>251</v>
          </cell>
          <cell r="H457">
            <v>136</v>
          </cell>
          <cell r="I457">
            <v>715</v>
          </cell>
          <cell r="J457">
            <v>638</v>
          </cell>
          <cell r="K457">
            <v>525</v>
          </cell>
          <cell r="L457">
            <v>446</v>
          </cell>
          <cell r="M457">
            <v>366</v>
          </cell>
          <cell r="N457">
            <v>251</v>
          </cell>
          <cell r="O457">
            <v>136</v>
          </cell>
          <cell r="P457">
            <v>536</v>
          </cell>
          <cell r="Q457">
            <v>488</v>
          </cell>
          <cell r="R457">
            <v>411</v>
          </cell>
          <cell r="S457">
            <v>354</v>
          </cell>
          <cell r="T457">
            <v>297</v>
          </cell>
          <cell r="U457">
            <v>208</v>
          </cell>
          <cell r="V457">
            <v>118</v>
          </cell>
          <cell r="W457">
            <v>536</v>
          </cell>
          <cell r="X457">
            <v>488</v>
          </cell>
          <cell r="Y457">
            <v>411</v>
          </cell>
          <cell r="Z457">
            <v>354</v>
          </cell>
          <cell r="AA457">
            <v>297</v>
          </cell>
          <cell r="AB457">
            <v>208</v>
          </cell>
          <cell r="AC457">
            <v>118</v>
          </cell>
        </row>
        <row r="458">
          <cell r="A458" t="str">
            <v>10-18-26</v>
          </cell>
          <cell r="B458">
            <v>655</v>
          </cell>
          <cell r="C458">
            <v>587</v>
          </cell>
          <cell r="D458">
            <v>485</v>
          </cell>
          <cell r="E458">
            <v>414</v>
          </cell>
          <cell r="F458">
            <v>343</v>
          </cell>
          <cell r="G458">
            <v>234</v>
          </cell>
          <cell r="H458">
            <v>124</v>
          </cell>
          <cell r="I458">
            <v>655</v>
          </cell>
          <cell r="J458">
            <v>587</v>
          </cell>
          <cell r="K458">
            <v>485</v>
          </cell>
          <cell r="L458">
            <v>414</v>
          </cell>
          <cell r="M458">
            <v>343</v>
          </cell>
          <cell r="N458">
            <v>234</v>
          </cell>
          <cell r="O458">
            <v>124</v>
          </cell>
          <cell r="P458">
            <v>491</v>
          </cell>
          <cell r="Q458">
            <v>449</v>
          </cell>
          <cell r="R458">
            <v>379</v>
          </cell>
          <cell r="S458">
            <v>329</v>
          </cell>
          <cell r="T458">
            <v>279</v>
          </cell>
          <cell r="U458">
            <v>194</v>
          </cell>
          <cell r="V458">
            <v>108</v>
          </cell>
          <cell r="W458">
            <v>491</v>
          </cell>
          <cell r="X458">
            <v>449</v>
          </cell>
          <cell r="Y458">
            <v>379</v>
          </cell>
          <cell r="Z458">
            <v>329</v>
          </cell>
          <cell r="AA458">
            <v>279</v>
          </cell>
          <cell r="AB458">
            <v>194</v>
          </cell>
          <cell r="AC458">
            <v>108</v>
          </cell>
        </row>
        <row r="459">
          <cell r="A459" t="str">
            <v>11-13-26</v>
          </cell>
          <cell r="B459">
            <v>1045</v>
          </cell>
          <cell r="C459">
            <v>917</v>
          </cell>
          <cell r="D459">
            <v>754</v>
          </cell>
          <cell r="E459">
            <v>645</v>
          </cell>
          <cell r="F459">
            <v>535</v>
          </cell>
          <cell r="G459">
            <v>368</v>
          </cell>
          <cell r="H459">
            <v>201</v>
          </cell>
          <cell r="I459">
            <v>907</v>
          </cell>
          <cell r="J459">
            <v>784</v>
          </cell>
          <cell r="K459">
            <v>632</v>
          </cell>
          <cell r="L459">
            <v>537</v>
          </cell>
          <cell r="M459">
            <v>441</v>
          </cell>
          <cell r="N459">
            <v>302</v>
          </cell>
          <cell r="O459">
            <v>163</v>
          </cell>
          <cell r="P459">
            <v>784</v>
          </cell>
          <cell r="Q459">
            <v>702</v>
          </cell>
          <cell r="R459">
            <v>591</v>
          </cell>
          <cell r="S459">
            <v>513</v>
          </cell>
          <cell r="T459">
            <v>435</v>
          </cell>
          <cell r="U459">
            <v>305</v>
          </cell>
          <cell r="V459">
            <v>175</v>
          </cell>
          <cell r="W459">
            <v>681</v>
          </cell>
          <cell r="X459">
            <v>600</v>
          </cell>
          <cell r="Y459">
            <v>496</v>
          </cell>
          <cell r="Z459">
            <v>428</v>
          </cell>
          <cell r="AA459">
            <v>359</v>
          </cell>
          <cell r="AB459">
            <v>251</v>
          </cell>
          <cell r="AC459">
            <v>142</v>
          </cell>
        </row>
        <row r="460">
          <cell r="A460" t="str">
            <v>11-14-26</v>
          </cell>
          <cell r="B460">
            <v>896</v>
          </cell>
          <cell r="C460">
            <v>793</v>
          </cell>
          <cell r="D460">
            <v>657</v>
          </cell>
          <cell r="E460">
            <v>564</v>
          </cell>
          <cell r="F460">
            <v>470</v>
          </cell>
          <cell r="G460">
            <v>324</v>
          </cell>
          <cell r="H460">
            <v>178</v>
          </cell>
          <cell r="I460">
            <v>856</v>
          </cell>
          <cell r="J460">
            <v>742</v>
          </cell>
          <cell r="K460">
            <v>601</v>
          </cell>
          <cell r="L460">
            <v>511</v>
          </cell>
          <cell r="M460">
            <v>420</v>
          </cell>
          <cell r="N460">
            <v>288</v>
          </cell>
          <cell r="O460">
            <v>155</v>
          </cell>
          <cell r="P460">
            <v>672</v>
          </cell>
          <cell r="Q460">
            <v>607</v>
          </cell>
          <cell r="R460">
            <v>515</v>
          </cell>
          <cell r="S460">
            <v>449</v>
          </cell>
          <cell r="T460">
            <v>382</v>
          </cell>
          <cell r="U460">
            <v>269</v>
          </cell>
          <cell r="V460">
            <v>155</v>
          </cell>
          <cell r="W460">
            <v>642</v>
          </cell>
          <cell r="X460">
            <v>568</v>
          </cell>
          <cell r="Y460">
            <v>471</v>
          </cell>
          <cell r="Z460">
            <v>406</v>
          </cell>
          <cell r="AA460">
            <v>341</v>
          </cell>
          <cell r="AB460">
            <v>238</v>
          </cell>
          <cell r="AC460">
            <v>135</v>
          </cell>
        </row>
        <row r="461">
          <cell r="A461" t="str">
            <v>11-15-26</v>
          </cell>
          <cell r="B461">
            <v>814</v>
          </cell>
          <cell r="C461">
            <v>720</v>
          </cell>
          <cell r="D461">
            <v>579</v>
          </cell>
          <cell r="E461">
            <v>492</v>
          </cell>
          <cell r="F461">
            <v>405</v>
          </cell>
          <cell r="G461">
            <v>277</v>
          </cell>
          <cell r="H461">
            <v>149</v>
          </cell>
          <cell r="I461">
            <v>814</v>
          </cell>
          <cell r="J461">
            <v>720</v>
          </cell>
          <cell r="K461">
            <v>579</v>
          </cell>
          <cell r="L461">
            <v>492</v>
          </cell>
          <cell r="M461">
            <v>405</v>
          </cell>
          <cell r="N461">
            <v>277</v>
          </cell>
          <cell r="O461">
            <v>149</v>
          </cell>
          <cell r="P461">
            <v>610</v>
          </cell>
          <cell r="Q461">
            <v>551</v>
          </cell>
          <cell r="R461">
            <v>453</v>
          </cell>
          <cell r="S461">
            <v>391</v>
          </cell>
          <cell r="T461">
            <v>329</v>
          </cell>
          <cell r="U461">
            <v>230</v>
          </cell>
          <cell r="V461">
            <v>130</v>
          </cell>
          <cell r="W461">
            <v>610</v>
          </cell>
          <cell r="X461">
            <v>551</v>
          </cell>
          <cell r="Y461">
            <v>453</v>
          </cell>
          <cell r="Z461">
            <v>391</v>
          </cell>
          <cell r="AA461">
            <v>329</v>
          </cell>
          <cell r="AB461">
            <v>230</v>
          </cell>
          <cell r="AC461">
            <v>130</v>
          </cell>
        </row>
        <row r="462">
          <cell r="A462" t="str">
            <v>11-16-26</v>
          </cell>
          <cell r="B462">
            <v>761</v>
          </cell>
          <cell r="C462">
            <v>676</v>
          </cell>
          <cell r="D462">
            <v>547</v>
          </cell>
          <cell r="E462">
            <v>466</v>
          </cell>
          <cell r="F462">
            <v>384</v>
          </cell>
          <cell r="G462">
            <v>263</v>
          </cell>
          <cell r="H462">
            <v>141</v>
          </cell>
          <cell r="I462">
            <v>761</v>
          </cell>
          <cell r="J462">
            <v>676</v>
          </cell>
          <cell r="K462">
            <v>547</v>
          </cell>
          <cell r="L462">
            <v>466</v>
          </cell>
          <cell r="M462">
            <v>384</v>
          </cell>
          <cell r="N462">
            <v>263</v>
          </cell>
          <cell r="O462">
            <v>141</v>
          </cell>
          <cell r="P462">
            <v>570</v>
          </cell>
          <cell r="Q462">
            <v>517</v>
          </cell>
          <cell r="R462">
            <v>428</v>
          </cell>
          <cell r="S462">
            <v>370</v>
          </cell>
          <cell r="T462">
            <v>312</v>
          </cell>
          <cell r="U462">
            <v>218</v>
          </cell>
          <cell r="V462">
            <v>123</v>
          </cell>
          <cell r="W462">
            <v>570</v>
          </cell>
          <cell r="X462">
            <v>517</v>
          </cell>
          <cell r="Y462">
            <v>428</v>
          </cell>
          <cell r="Z462">
            <v>370</v>
          </cell>
          <cell r="AA462">
            <v>312</v>
          </cell>
          <cell r="AB462">
            <v>218</v>
          </cell>
          <cell r="AC462">
            <v>123</v>
          </cell>
        </row>
        <row r="463">
          <cell r="A463" t="str">
            <v>11-17-26</v>
          </cell>
          <cell r="B463">
            <v>707</v>
          </cell>
          <cell r="C463">
            <v>630</v>
          </cell>
          <cell r="D463">
            <v>518</v>
          </cell>
          <cell r="E463">
            <v>440</v>
          </cell>
          <cell r="F463">
            <v>362</v>
          </cell>
          <cell r="G463">
            <v>249</v>
          </cell>
          <cell r="H463">
            <v>135</v>
          </cell>
          <cell r="I463">
            <v>707</v>
          </cell>
          <cell r="J463">
            <v>630</v>
          </cell>
          <cell r="K463">
            <v>518</v>
          </cell>
          <cell r="L463">
            <v>440</v>
          </cell>
          <cell r="M463">
            <v>362</v>
          </cell>
          <cell r="N463">
            <v>249</v>
          </cell>
          <cell r="O463">
            <v>135</v>
          </cell>
          <cell r="P463">
            <v>530</v>
          </cell>
          <cell r="Q463">
            <v>482</v>
          </cell>
          <cell r="R463">
            <v>406</v>
          </cell>
          <cell r="S463">
            <v>350</v>
          </cell>
          <cell r="T463">
            <v>294</v>
          </cell>
          <cell r="U463">
            <v>206</v>
          </cell>
          <cell r="V463">
            <v>117</v>
          </cell>
          <cell r="W463">
            <v>530</v>
          </cell>
          <cell r="X463">
            <v>482</v>
          </cell>
          <cell r="Y463">
            <v>406</v>
          </cell>
          <cell r="Z463">
            <v>350</v>
          </cell>
          <cell r="AA463">
            <v>294</v>
          </cell>
          <cell r="AB463">
            <v>206</v>
          </cell>
          <cell r="AC463">
            <v>117</v>
          </cell>
        </row>
        <row r="464">
          <cell r="A464" t="str">
            <v>11-18-26</v>
          </cell>
          <cell r="B464">
            <v>650</v>
          </cell>
          <cell r="C464">
            <v>583</v>
          </cell>
          <cell r="D464">
            <v>482</v>
          </cell>
          <cell r="E464">
            <v>412</v>
          </cell>
          <cell r="F464">
            <v>342</v>
          </cell>
          <cell r="G464">
            <v>234</v>
          </cell>
          <cell r="H464">
            <v>125</v>
          </cell>
          <cell r="I464">
            <v>650</v>
          </cell>
          <cell r="J464">
            <v>583</v>
          </cell>
          <cell r="K464">
            <v>482</v>
          </cell>
          <cell r="L464">
            <v>412</v>
          </cell>
          <cell r="M464">
            <v>342</v>
          </cell>
          <cell r="N464">
            <v>234</v>
          </cell>
          <cell r="O464">
            <v>125</v>
          </cell>
          <cell r="P464">
            <v>487</v>
          </cell>
          <cell r="Q464">
            <v>446</v>
          </cell>
          <cell r="R464">
            <v>377</v>
          </cell>
          <cell r="S464">
            <v>328</v>
          </cell>
          <cell r="T464">
            <v>278</v>
          </cell>
          <cell r="U464">
            <v>194</v>
          </cell>
          <cell r="V464">
            <v>109</v>
          </cell>
          <cell r="W464">
            <v>487</v>
          </cell>
          <cell r="X464">
            <v>446</v>
          </cell>
          <cell r="Y464">
            <v>377</v>
          </cell>
          <cell r="Z464">
            <v>328</v>
          </cell>
          <cell r="AA464">
            <v>278</v>
          </cell>
          <cell r="AB464">
            <v>194</v>
          </cell>
          <cell r="AC464">
            <v>109</v>
          </cell>
        </row>
        <row r="465">
          <cell r="A465" t="str">
            <v>11-19-26</v>
          </cell>
          <cell r="B465">
            <v>589</v>
          </cell>
          <cell r="C465">
            <v>530</v>
          </cell>
          <cell r="D465">
            <v>439</v>
          </cell>
          <cell r="E465">
            <v>376</v>
          </cell>
          <cell r="F465">
            <v>313</v>
          </cell>
          <cell r="G465">
            <v>213</v>
          </cell>
          <cell r="H465">
            <v>113</v>
          </cell>
          <cell r="I465">
            <v>589</v>
          </cell>
          <cell r="J465">
            <v>530</v>
          </cell>
          <cell r="K465">
            <v>439</v>
          </cell>
          <cell r="L465">
            <v>376</v>
          </cell>
          <cell r="M465">
            <v>313</v>
          </cell>
          <cell r="N465">
            <v>213</v>
          </cell>
          <cell r="O465">
            <v>113</v>
          </cell>
          <cell r="P465">
            <v>442</v>
          </cell>
          <cell r="Q465">
            <v>405</v>
          </cell>
          <cell r="R465">
            <v>344</v>
          </cell>
          <cell r="S465">
            <v>300</v>
          </cell>
          <cell r="T465">
            <v>255</v>
          </cell>
          <cell r="U465">
            <v>177</v>
          </cell>
          <cell r="V465">
            <v>99</v>
          </cell>
          <cell r="W465">
            <v>442</v>
          </cell>
          <cell r="X465">
            <v>405</v>
          </cell>
          <cell r="Y465">
            <v>344</v>
          </cell>
          <cell r="Z465">
            <v>300</v>
          </cell>
          <cell r="AA465">
            <v>255</v>
          </cell>
          <cell r="AB465">
            <v>177</v>
          </cell>
          <cell r="AC465">
            <v>99</v>
          </cell>
        </row>
        <row r="466">
          <cell r="A466" t="str">
            <v>12-14-26</v>
          </cell>
          <cell r="B466">
            <v>886</v>
          </cell>
          <cell r="C466">
            <v>782</v>
          </cell>
          <cell r="D466">
            <v>646</v>
          </cell>
          <cell r="E466">
            <v>554</v>
          </cell>
          <cell r="F466">
            <v>461</v>
          </cell>
          <cell r="G466">
            <v>317</v>
          </cell>
          <cell r="H466">
            <v>173</v>
          </cell>
          <cell r="I466">
            <v>852</v>
          </cell>
          <cell r="J466">
            <v>739</v>
          </cell>
          <cell r="K466">
            <v>597</v>
          </cell>
          <cell r="L466">
            <v>507</v>
          </cell>
          <cell r="M466">
            <v>416</v>
          </cell>
          <cell r="N466">
            <v>285</v>
          </cell>
          <cell r="O466">
            <v>153</v>
          </cell>
          <cell r="P466">
            <v>664</v>
          </cell>
          <cell r="Q466">
            <v>598</v>
          </cell>
          <cell r="R466">
            <v>506</v>
          </cell>
          <cell r="S466">
            <v>441</v>
          </cell>
          <cell r="T466">
            <v>375</v>
          </cell>
          <cell r="U466">
            <v>263</v>
          </cell>
          <cell r="V466">
            <v>151</v>
          </cell>
          <cell r="W466">
            <v>639</v>
          </cell>
          <cell r="X466">
            <v>565</v>
          </cell>
          <cell r="Y466">
            <v>468</v>
          </cell>
          <cell r="Z466">
            <v>403</v>
          </cell>
          <cell r="AA466">
            <v>338</v>
          </cell>
          <cell r="AB466">
            <v>236</v>
          </cell>
          <cell r="AC466">
            <v>134</v>
          </cell>
        </row>
        <row r="467">
          <cell r="A467" t="str">
            <v>12-15-26</v>
          </cell>
          <cell r="B467">
            <v>806</v>
          </cell>
          <cell r="C467">
            <v>712</v>
          </cell>
          <cell r="D467">
            <v>573</v>
          </cell>
          <cell r="E467">
            <v>487</v>
          </cell>
          <cell r="F467">
            <v>400</v>
          </cell>
          <cell r="G467">
            <v>274</v>
          </cell>
          <cell r="H467">
            <v>147</v>
          </cell>
          <cell r="I467">
            <v>806</v>
          </cell>
          <cell r="J467">
            <v>712</v>
          </cell>
          <cell r="K467">
            <v>573</v>
          </cell>
          <cell r="L467">
            <v>487</v>
          </cell>
          <cell r="M467">
            <v>400</v>
          </cell>
          <cell r="N467">
            <v>274</v>
          </cell>
          <cell r="O467">
            <v>147</v>
          </cell>
          <cell r="P467">
            <v>604</v>
          </cell>
          <cell r="Q467">
            <v>545</v>
          </cell>
          <cell r="R467">
            <v>449</v>
          </cell>
          <cell r="S467">
            <v>387</v>
          </cell>
          <cell r="T467">
            <v>325</v>
          </cell>
          <cell r="U467">
            <v>227</v>
          </cell>
          <cell r="V467">
            <v>128</v>
          </cell>
          <cell r="W467">
            <v>604</v>
          </cell>
          <cell r="X467">
            <v>545</v>
          </cell>
          <cell r="Y467">
            <v>449</v>
          </cell>
          <cell r="Z467">
            <v>387</v>
          </cell>
          <cell r="AA467">
            <v>325</v>
          </cell>
          <cell r="AB467">
            <v>227</v>
          </cell>
          <cell r="AC467">
            <v>128</v>
          </cell>
        </row>
        <row r="468">
          <cell r="A468" t="str">
            <v>12-16-26</v>
          </cell>
          <cell r="B468">
            <v>753</v>
          </cell>
          <cell r="C468">
            <v>669</v>
          </cell>
          <cell r="D468">
            <v>540</v>
          </cell>
          <cell r="E468">
            <v>460</v>
          </cell>
          <cell r="F468">
            <v>380</v>
          </cell>
          <cell r="G468">
            <v>260</v>
          </cell>
          <cell r="H468">
            <v>139</v>
          </cell>
          <cell r="I468">
            <v>753</v>
          </cell>
          <cell r="J468">
            <v>669</v>
          </cell>
          <cell r="K468">
            <v>540</v>
          </cell>
          <cell r="L468">
            <v>460</v>
          </cell>
          <cell r="M468">
            <v>380</v>
          </cell>
          <cell r="N468">
            <v>260</v>
          </cell>
          <cell r="O468">
            <v>139</v>
          </cell>
          <cell r="P468">
            <v>564</v>
          </cell>
          <cell r="Q468">
            <v>512</v>
          </cell>
          <cell r="R468">
            <v>423</v>
          </cell>
          <cell r="S468">
            <v>366</v>
          </cell>
          <cell r="T468">
            <v>309</v>
          </cell>
          <cell r="U468">
            <v>215</v>
          </cell>
          <cell r="V468">
            <v>121</v>
          </cell>
          <cell r="W468">
            <v>564</v>
          </cell>
          <cell r="X468">
            <v>512</v>
          </cell>
          <cell r="Y468">
            <v>423</v>
          </cell>
          <cell r="Z468">
            <v>366</v>
          </cell>
          <cell r="AA468">
            <v>309</v>
          </cell>
          <cell r="AB468">
            <v>215</v>
          </cell>
          <cell r="AC468">
            <v>121</v>
          </cell>
        </row>
        <row r="469">
          <cell r="A469" t="str">
            <v>12-17-26</v>
          </cell>
          <cell r="B469">
            <v>699</v>
          </cell>
          <cell r="C469">
            <v>623</v>
          </cell>
          <cell r="D469">
            <v>512</v>
          </cell>
          <cell r="E469">
            <v>435</v>
          </cell>
          <cell r="F469">
            <v>358</v>
          </cell>
          <cell r="G469">
            <v>246</v>
          </cell>
          <cell r="H469">
            <v>133</v>
          </cell>
          <cell r="I469">
            <v>699</v>
          </cell>
          <cell r="J469">
            <v>623</v>
          </cell>
          <cell r="K469">
            <v>512</v>
          </cell>
          <cell r="L469">
            <v>435</v>
          </cell>
          <cell r="M469">
            <v>358</v>
          </cell>
          <cell r="N469">
            <v>246</v>
          </cell>
          <cell r="O469">
            <v>133</v>
          </cell>
          <cell r="P469">
            <v>524</v>
          </cell>
          <cell r="Q469">
            <v>477</v>
          </cell>
          <cell r="R469">
            <v>401</v>
          </cell>
          <cell r="S469">
            <v>346</v>
          </cell>
          <cell r="T469">
            <v>291</v>
          </cell>
          <cell r="U469">
            <v>204</v>
          </cell>
          <cell r="V469">
            <v>116</v>
          </cell>
          <cell r="W469">
            <v>524</v>
          </cell>
          <cell r="X469">
            <v>477</v>
          </cell>
          <cell r="Y469">
            <v>401</v>
          </cell>
          <cell r="Z469">
            <v>346</v>
          </cell>
          <cell r="AA469">
            <v>291</v>
          </cell>
          <cell r="AB469">
            <v>204</v>
          </cell>
          <cell r="AC469">
            <v>116</v>
          </cell>
        </row>
        <row r="470">
          <cell r="A470" t="str">
            <v>12-18-26</v>
          </cell>
          <cell r="B470">
            <v>643</v>
          </cell>
          <cell r="C470">
            <v>576</v>
          </cell>
          <cell r="D470">
            <v>477</v>
          </cell>
          <cell r="E470">
            <v>409</v>
          </cell>
          <cell r="F470">
            <v>340</v>
          </cell>
          <cell r="G470">
            <v>233</v>
          </cell>
          <cell r="H470">
            <v>125</v>
          </cell>
          <cell r="I470">
            <v>643</v>
          </cell>
          <cell r="J470">
            <v>576</v>
          </cell>
          <cell r="K470">
            <v>477</v>
          </cell>
          <cell r="L470">
            <v>409</v>
          </cell>
          <cell r="M470">
            <v>340</v>
          </cell>
          <cell r="N470">
            <v>233</v>
          </cell>
          <cell r="O470">
            <v>125</v>
          </cell>
          <cell r="P470">
            <v>482</v>
          </cell>
          <cell r="Q470">
            <v>441</v>
          </cell>
          <cell r="R470">
            <v>374</v>
          </cell>
          <cell r="S470">
            <v>325</v>
          </cell>
          <cell r="T470">
            <v>276</v>
          </cell>
          <cell r="U470">
            <v>193</v>
          </cell>
          <cell r="V470">
            <v>109</v>
          </cell>
          <cell r="W470">
            <v>482</v>
          </cell>
          <cell r="X470">
            <v>441</v>
          </cell>
          <cell r="Y470">
            <v>374</v>
          </cell>
          <cell r="Z470">
            <v>325</v>
          </cell>
          <cell r="AA470">
            <v>276</v>
          </cell>
          <cell r="AB470">
            <v>193</v>
          </cell>
          <cell r="AC470">
            <v>109</v>
          </cell>
        </row>
        <row r="471">
          <cell r="A471" t="str">
            <v>12-19-26</v>
          </cell>
          <cell r="B471">
            <v>584</v>
          </cell>
          <cell r="C471">
            <v>525</v>
          </cell>
          <cell r="D471">
            <v>436</v>
          </cell>
          <cell r="E471">
            <v>374</v>
          </cell>
          <cell r="F471">
            <v>312</v>
          </cell>
          <cell r="G471">
            <v>213</v>
          </cell>
          <cell r="H471">
            <v>113</v>
          </cell>
          <cell r="I471">
            <v>584</v>
          </cell>
          <cell r="J471">
            <v>525</v>
          </cell>
          <cell r="K471">
            <v>436</v>
          </cell>
          <cell r="L471">
            <v>374</v>
          </cell>
          <cell r="M471">
            <v>312</v>
          </cell>
          <cell r="N471">
            <v>213</v>
          </cell>
          <cell r="O471">
            <v>113</v>
          </cell>
          <cell r="P471">
            <v>438</v>
          </cell>
          <cell r="Q471">
            <v>402</v>
          </cell>
          <cell r="R471">
            <v>341</v>
          </cell>
          <cell r="S471">
            <v>297</v>
          </cell>
          <cell r="T471">
            <v>253</v>
          </cell>
          <cell r="U471">
            <v>176</v>
          </cell>
          <cell r="V471">
            <v>99</v>
          </cell>
          <cell r="W471">
            <v>438</v>
          </cell>
          <cell r="X471">
            <v>402</v>
          </cell>
          <cell r="Y471">
            <v>341</v>
          </cell>
          <cell r="Z471">
            <v>297</v>
          </cell>
          <cell r="AA471">
            <v>253</v>
          </cell>
          <cell r="AB471">
            <v>176</v>
          </cell>
          <cell r="AC471">
            <v>99</v>
          </cell>
        </row>
        <row r="472">
          <cell r="A472" t="str">
            <v>12-20-26</v>
          </cell>
          <cell r="B472">
            <v>521</v>
          </cell>
          <cell r="C472">
            <v>471</v>
          </cell>
          <cell r="D472">
            <v>393</v>
          </cell>
          <cell r="E472">
            <v>338</v>
          </cell>
          <cell r="F472">
            <v>282</v>
          </cell>
          <cell r="G472">
            <v>192</v>
          </cell>
          <cell r="H472">
            <v>102</v>
          </cell>
          <cell r="I472">
            <v>521</v>
          </cell>
          <cell r="J472">
            <v>471</v>
          </cell>
          <cell r="K472">
            <v>393</v>
          </cell>
          <cell r="L472">
            <v>338</v>
          </cell>
          <cell r="M472">
            <v>282</v>
          </cell>
          <cell r="N472">
            <v>192</v>
          </cell>
          <cell r="O472">
            <v>102</v>
          </cell>
          <cell r="P472">
            <v>390</v>
          </cell>
          <cell r="Q472">
            <v>360</v>
          </cell>
          <cell r="R472">
            <v>308</v>
          </cell>
          <cell r="S472">
            <v>269</v>
          </cell>
          <cell r="T472">
            <v>229</v>
          </cell>
          <cell r="U472">
            <v>159</v>
          </cell>
          <cell r="V472">
            <v>88</v>
          </cell>
          <cell r="W472">
            <v>390</v>
          </cell>
          <cell r="X472">
            <v>360</v>
          </cell>
          <cell r="Y472">
            <v>308</v>
          </cell>
          <cell r="Z472">
            <v>269</v>
          </cell>
          <cell r="AA472">
            <v>229</v>
          </cell>
          <cell r="AB472">
            <v>159</v>
          </cell>
          <cell r="AC472">
            <v>88</v>
          </cell>
        </row>
        <row r="473">
          <cell r="A473" t="str">
            <v>13-15-26</v>
          </cell>
          <cell r="B473">
            <v>798</v>
          </cell>
          <cell r="C473">
            <v>706</v>
          </cell>
          <cell r="D473">
            <v>566</v>
          </cell>
          <cell r="E473">
            <v>481</v>
          </cell>
          <cell r="F473">
            <v>395</v>
          </cell>
          <cell r="G473">
            <v>270</v>
          </cell>
          <cell r="H473">
            <v>145</v>
          </cell>
          <cell r="I473">
            <v>798</v>
          </cell>
          <cell r="J473">
            <v>706</v>
          </cell>
          <cell r="K473">
            <v>566</v>
          </cell>
          <cell r="L473">
            <v>481</v>
          </cell>
          <cell r="M473">
            <v>395</v>
          </cell>
          <cell r="N473">
            <v>270</v>
          </cell>
          <cell r="O473">
            <v>145</v>
          </cell>
          <cell r="P473">
            <v>599</v>
          </cell>
          <cell r="Q473">
            <v>540</v>
          </cell>
          <cell r="R473">
            <v>443</v>
          </cell>
          <cell r="S473">
            <v>382</v>
          </cell>
          <cell r="T473">
            <v>321</v>
          </cell>
          <cell r="U473">
            <v>224</v>
          </cell>
          <cell r="V473">
            <v>126</v>
          </cell>
          <cell r="W473">
            <v>599</v>
          </cell>
          <cell r="X473">
            <v>540</v>
          </cell>
          <cell r="Y473">
            <v>443</v>
          </cell>
          <cell r="Z473">
            <v>382</v>
          </cell>
          <cell r="AA473">
            <v>321</v>
          </cell>
          <cell r="AB473">
            <v>224</v>
          </cell>
          <cell r="AC473">
            <v>126</v>
          </cell>
        </row>
        <row r="474">
          <cell r="A474" t="str">
            <v>13-16-26</v>
          </cell>
          <cell r="B474">
            <v>744</v>
          </cell>
          <cell r="C474">
            <v>661</v>
          </cell>
          <cell r="D474">
            <v>540</v>
          </cell>
          <cell r="E474">
            <v>458</v>
          </cell>
          <cell r="F474">
            <v>375</v>
          </cell>
          <cell r="G474">
            <v>256</v>
          </cell>
          <cell r="H474">
            <v>137</v>
          </cell>
          <cell r="I474">
            <v>744</v>
          </cell>
          <cell r="J474">
            <v>661</v>
          </cell>
          <cell r="K474">
            <v>540</v>
          </cell>
          <cell r="L474">
            <v>458</v>
          </cell>
          <cell r="M474">
            <v>375</v>
          </cell>
          <cell r="N474">
            <v>256</v>
          </cell>
          <cell r="O474">
            <v>137</v>
          </cell>
          <cell r="P474">
            <v>558</v>
          </cell>
          <cell r="Q474">
            <v>506</v>
          </cell>
          <cell r="R474">
            <v>423</v>
          </cell>
          <cell r="S474">
            <v>364</v>
          </cell>
          <cell r="T474">
            <v>304</v>
          </cell>
          <cell r="U474">
            <v>212</v>
          </cell>
          <cell r="V474">
            <v>120</v>
          </cell>
          <cell r="W474">
            <v>558</v>
          </cell>
          <cell r="X474">
            <v>506</v>
          </cell>
          <cell r="Y474">
            <v>423</v>
          </cell>
          <cell r="Z474">
            <v>364</v>
          </cell>
          <cell r="AA474">
            <v>304</v>
          </cell>
          <cell r="AB474">
            <v>212</v>
          </cell>
          <cell r="AC474">
            <v>120</v>
          </cell>
        </row>
        <row r="475">
          <cell r="A475" t="str">
            <v>13-17-26</v>
          </cell>
          <cell r="B475">
            <v>690</v>
          </cell>
          <cell r="C475">
            <v>616</v>
          </cell>
          <cell r="D475">
            <v>505</v>
          </cell>
          <cell r="E475">
            <v>430</v>
          </cell>
          <cell r="F475">
            <v>354</v>
          </cell>
          <cell r="G475">
            <v>242</v>
          </cell>
          <cell r="H475">
            <v>129</v>
          </cell>
          <cell r="I475">
            <v>690</v>
          </cell>
          <cell r="J475">
            <v>616</v>
          </cell>
          <cell r="K475">
            <v>505</v>
          </cell>
          <cell r="L475">
            <v>430</v>
          </cell>
          <cell r="M475">
            <v>354</v>
          </cell>
          <cell r="N475">
            <v>242</v>
          </cell>
          <cell r="O475">
            <v>129</v>
          </cell>
          <cell r="P475">
            <v>517</v>
          </cell>
          <cell r="Q475">
            <v>471</v>
          </cell>
          <cell r="R475">
            <v>395</v>
          </cell>
          <cell r="S475">
            <v>341</v>
          </cell>
          <cell r="T475">
            <v>287</v>
          </cell>
          <cell r="U475">
            <v>200</v>
          </cell>
          <cell r="V475">
            <v>112</v>
          </cell>
          <cell r="W475">
            <v>517</v>
          </cell>
          <cell r="X475">
            <v>471</v>
          </cell>
          <cell r="Y475">
            <v>395</v>
          </cell>
          <cell r="Z475">
            <v>341</v>
          </cell>
          <cell r="AA475">
            <v>287</v>
          </cell>
          <cell r="AB475">
            <v>200</v>
          </cell>
          <cell r="AC475">
            <v>112</v>
          </cell>
        </row>
        <row r="476">
          <cell r="A476" t="str">
            <v>13-18-26</v>
          </cell>
          <cell r="B476">
            <v>635</v>
          </cell>
          <cell r="C476">
            <v>569</v>
          </cell>
          <cell r="D476">
            <v>470</v>
          </cell>
          <cell r="E476">
            <v>403</v>
          </cell>
          <cell r="F476">
            <v>335</v>
          </cell>
          <cell r="G476">
            <v>229</v>
          </cell>
          <cell r="H476">
            <v>123</v>
          </cell>
          <cell r="I476">
            <v>635</v>
          </cell>
          <cell r="J476">
            <v>569</v>
          </cell>
          <cell r="K476">
            <v>470</v>
          </cell>
          <cell r="L476">
            <v>403</v>
          </cell>
          <cell r="M476">
            <v>335</v>
          </cell>
          <cell r="N476">
            <v>229</v>
          </cell>
          <cell r="O476">
            <v>123</v>
          </cell>
          <cell r="P476">
            <v>476</v>
          </cell>
          <cell r="Q476">
            <v>435</v>
          </cell>
          <cell r="R476">
            <v>368</v>
          </cell>
          <cell r="S476">
            <v>320</v>
          </cell>
          <cell r="T476">
            <v>272</v>
          </cell>
          <cell r="U476">
            <v>190</v>
          </cell>
          <cell r="V476">
            <v>107</v>
          </cell>
          <cell r="W476">
            <v>476</v>
          </cell>
          <cell r="X476">
            <v>435</v>
          </cell>
          <cell r="Y476">
            <v>368</v>
          </cell>
          <cell r="Z476">
            <v>320</v>
          </cell>
          <cell r="AA476">
            <v>272</v>
          </cell>
          <cell r="AB476">
            <v>190</v>
          </cell>
          <cell r="AC476">
            <v>107</v>
          </cell>
        </row>
        <row r="477">
          <cell r="A477" t="str">
            <v>13-19-26</v>
          </cell>
          <cell r="B477">
            <v>579</v>
          </cell>
          <cell r="C477">
            <v>521</v>
          </cell>
          <cell r="D477">
            <v>433</v>
          </cell>
          <cell r="E477">
            <v>372</v>
          </cell>
          <cell r="F477">
            <v>311</v>
          </cell>
          <cell r="G477">
            <v>212</v>
          </cell>
          <cell r="H477">
            <v>113</v>
          </cell>
          <cell r="I477">
            <v>579</v>
          </cell>
          <cell r="J477">
            <v>521</v>
          </cell>
          <cell r="K477">
            <v>433</v>
          </cell>
          <cell r="L477">
            <v>372</v>
          </cell>
          <cell r="M477">
            <v>311</v>
          </cell>
          <cell r="N477">
            <v>212</v>
          </cell>
          <cell r="O477">
            <v>113</v>
          </cell>
          <cell r="P477">
            <v>434</v>
          </cell>
          <cell r="Q477">
            <v>399</v>
          </cell>
          <cell r="R477">
            <v>339</v>
          </cell>
          <cell r="S477">
            <v>296</v>
          </cell>
          <cell r="T477">
            <v>253</v>
          </cell>
          <cell r="U477">
            <v>176</v>
          </cell>
          <cell r="V477">
            <v>99</v>
          </cell>
          <cell r="W477">
            <v>434</v>
          </cell>
          <cell r="X477">
            <v>399</v>
          </cell>
          <cell r="Y477">
            <v>339</v>
          </cell>
          <cell r="Z477">
            <v>296</v>
          </cell>
          <cell r="AA477">
            <v>253</v>
          </cell>
          <cell r="AB477">
            <v>176</v>
          </cell>
          <cell r="AC477">
            <v>99</v>
          </cell>
        </row>
        <row r="478">
          <cell r="A478" t="str">
            <v>13-20-26</v>
          </cell>
          <cell r="B478">
            <v>516</v>
          </cell>
          <cell r="C478">
            <v>466</v>
          </cell>
          <cell r="D478">
            <v>389</v>
          </cell>
          <cell r="E478">
            <v>335</v>
          </cell>
          <cell r="F478">
            <v>281</v>
          </cell>
          <cell r="G478">
            <v>192</v>
          </cell>
          <cell r="H478">
            <v>102</v>
          </cell>
          <cell r="I478">
            <v>516</v>
          </cell>
          <cell r="J478">
            <v>466</v>
          </cell>
          <cell r="K478">
            <v>389</v>
          </cell>
          <cell r="L478">
            <v>335</v>
          </cell>
          <cell r="M478">
            <v>281</v>
          </cell>
          <cell r="N478">
            <v>192</v>
          </cell>
          <cell r="O478">
            <v>102</v>
          </cell>
          <cell r="P478">
            <v>387</v>
          </cell>
          <cell r="Q478">
            <v>357</v>
          </cell>
          <cell r="R478">
            <v>305</v>
          </cell>
          <cell r="S478">
            <v>267</v>
          </cell>
          <cell r="T478">
            <v>228</v>
          </cell>
          <cell r="U478">
            <v>158</v>
          </cell>
          <cell r="V478">
            <v>88</v>
          </cell>
          <cell r="W478">
            <v>387</v>
          </cell>
          <cell r="X478">
            <v>357</v>
          </cell>
          <cell r="Y478">
            <v>305</v>
          </cell>
          <cell r="Z478">
            <v>267</v>
          </cell>
          <cell r="AA478">
            <v>228</v>
          </cell>
          <cell r="AB478">
            <v>158</v>
          </cell>
          <cell r="AC478">
            <v>88</v>
          </cell>
        </row>
        <row r="479">
          <cell r="A479" t="str">
            <v>13-21-26</v>
          </cell>
          <cell r="B479">
            <v>450</v>
          </cell>
          <cell r="C479">
            <v>409</v>
          </cell>
          <cell r="D479">
            <v>343</v>
          </cell>
          <cell r="E479">
            <v>297</v>
          </cell>
          <cell r="F479">
            <v>250</v>
          </cell>
          <cell r="G479">
            <v>171</v>
          </cell>
          <cell r="H479">
            <v>91</v>
          </cell>
          <cell r="I479">
            <v>450</v>
          </cell>
          <cell r="J479">
            <v>409</v>
          </cell>
          <cell r="K479">
            <v>343</v>
          </cell>
          <cell r="L479">
            <v>297</v>
          </cell>
          <cell r="M479">
            <v>250</v>
          </cell>
          <cell r="N479">
            <v>171</v>
          </cell>
          <cell r="O479">
            <v>91</v>
          </cell>
          <cell r="P479">
            <v>338</v>
          </cell>
          <cell r="Q479">
            <v>313</v>
          </cell>
          <cell r="R479">
            <v>269</v>
          </cell>
          <cell r="S479">
            <v>236</v>
          </cell>
          <cell r="T479">
            <v>203</v>
          </cell>
          <cell r="U479">
            <v>141</v>
          </cell>
          <cell r="V479">
            <v>79</v>
          </cell>
          <cell r="W479">
            <v>338</v>
          </cell>
          <cell r="X479">
            <v>313</v>
          </cell>
          <cell r="Y479">
            <v>269</v>
          </cell>
          <cell r="Z479">
            <v>236</v>
          </cell>
          <cell r="AA479">
            <v>203</v>
          </cell>
          <cell r="AB479">
            <v>141</v>
          </cell>
          <cell r="AC479">
            <v>79</v>
          </cell>
        </row>
        <row r="480">
          <cell r="A480" t="str">
            <v>14-16-26</v>
          </cell>
          <cell r="B480">
            <v>735</v>
          </cell>
          <cell r="C480">
            <v>652</v>
          </cell>
          <cell r="D480">
            <v>533</v>
          </cell>
          <cell r="E480">
            <v>451</v>
          </cell>
          <cell r="F480">
            <v>369</v>
          </cell>
          <cell r="G480">
            <v>252</v>
          </cell>
          <cell r="H480">
            <v>135</v>
          </cell>
          <cell r="I480">
            <v>735</v>
          </cell>
          <cell r="J480">
            <v>652</v>
          </cell>
          <cell r="K480">
            <v>533</v>
          </cell>
          <cell r="L480">
            <v>451</v>
          </cell>
          <cell r="M480">
            <v>369</v>
          </cell>
          <cell r="N480">
            <v>252</v>
          </cell>
          <cell r="O480">
            <v>135</v>
          </cell>
          <cell r="P480">
            <v>551</v>
          </cell>
          <cell r="Q480">
            <v>499</v>
          </cell>
          <cell r="R480">
            <v>417</v>
          </cell>
          <cell r="S480">
            <v>358</v>
          </cell>
          <cell r="T480">
            <v>299</v>
          </cell>
          <cell r="U480">
            <v>208</v>
          </cell>
          <cell r="V480">
            <v>117</v>
          </cell>
          <cell r="W480">
            <v>551</v>
          </cell>
          <cell r="X480">
            <v>499</v>
          </cell>
          <cell r="Y480">
            <v>417</v>
          </cell>
          <cell r="Z480">
            <v>358</v>
          </cell>
          <cell r="AA480">
            <v>299</v>
          </cell>
          <cell r="AB480">
            <v>208</v>
          </cell>
          <cell r="AC480">
            <v>117</v>
          </cell>
        </row>
        <row r="481">
          <cell r="A481" t="str">
            <v>14-17-26</v>
          </cell>
          <cell r="B481">
            <v>682</v>
          </cell>
          <cell r="C481">
            <v>606</v>
          </cell>
          <cell r="D481">
            <v>498</v>
          </cell>
          <cell r="E481">
            <v>423</v>
          </cell>
          <cell r="F481">
            <v>347</v>
          </cell>
          <cell r="G481">
            <v>237</v>
          </cell>
          <cell r="H481">
            <v>127</v>
          </cell>
          <cell r="I481">
            <v>682</v>
          </cell>
          <cell r="J481">
            <v>606</v>
          </cell>
          <cell r="K481">
            <v>498</v>
          </cell>
          <cell r="L481">
            <v>423</v>
          </cell>
          <cell r="M481">
            <v>347</v>
          </cell>
          <cell r="N481">
            <v>237</v>
          </cell>
          <cell r="O481">
            <v>127</v>
          </cell>
          <cell r="P481">
            <v>511</v>
          </cell>
          <cell r="Q481">
            <v>464</v>
          </cell>
          <cell r="R481">
            <v>390</v>
          </cell>
          <cell r="S481">
            <v>336</v>
          </cell>
          <cell r="T481">
            <v>282</v>
          </cell>
          <cell r="U481">
            <v>197</v>
          </cell>
          <cell r="V481">
            <v>111</v>
          </cell>
          <cell r="W481">
            <v>511</v>
          </cell>
          <cell r="X481">
            <v>464</v>
          </cell>
          <cell r="Y481">
            <v>390</v>
          </cell>
          <cell r="Z481">
            <v>336</v>
          </cell>
          <cell r="AA481">
            <v>282</v>
          </cell>
          <cell r="AB481">
            <v>197</v>
          </cell>
          <cell r="AC481">
            <v>111</v>
          </cell>
        </row>
        <row r="482">
          <cell r="A482" t="str">
            <v>14-18-26</v>
          </cell>
          <cell r="B482">
            <v>627</v>
          </cell>
          <cell r="C482">
            <v>561</v>
          </cell>
          <cell r="D482">
            <v>463</v>
          </cell>
          <cell r="E482">
            <v>397</v>
          </cell>
          <cell r="F482">
            <v>330</v>
          </cell>
          <cell r="G482">
            <v>226</v>
          </cell>
          <cell r="H482">
            <v>122</v>
          </cell>
          <cell r="I482">
            <v>627</v>
          </cell>
          <cell r="J482">
            <v>561</v>
          </cell>
          <cell r="K482">
            <v>463</v>
          </cell>
          <cell r="L482">
            <v>397</v>
          </cell>
          <cell r="M482">
            <v>330</v>
          </cell>
          <cell r="N482">
            <v>226</v>
          </cell>
          <cell r="O482">
            <v>122</v>
          </cell>
          <cell r="P482">
            <v>470</v>
          </cell>
          <cell r="Q482">
            <v>429</v>
          </cell>
          <cell r="R482">
            <v>362</v>
          </cell>
          <cell r="S482">
            <v>315</v>
          </cell>
          <cell r="T482">
            <v>268</v>
          </cell>
          <cell r="U482">
            <v>187</v>
          </cell>
          <cell r="V482">
            <v>106</v>
          </cell>
          <cell r="W482">
            <v>470</v>
          </cell>
          <cell r="X482">
            <v>429</v>
          </cell>
          <cell r="Y482">
            <v>362</v>
          </cell>
          <cell r="Z482">
            <v>315</v>
          </cell>
          <cell r="AA482">
            <v>268</v>
          </cell>
          <cell r="AB482">
            <v>187</v>
          </cell>
          <cell r="AC482">
            <v>106</v>
          </cell>
        </row>
        <row r="483">
          <cell r="A483" t="str">
            <v>14-19-26</v>
          </cell>
          <cell r="B483">
            <v>570</v>
          </cell>
          <cell r="C483">
            <v>513</v>
          </cell>
          <cell r="D483">
            <v>426</v>
          </cell>
          <cell r="E483">
            <v>366</v>
          </cell>
          <cell r="F483">
            <v>306</v>
          </cell>
          <cell r="G483">
            <v>210</v>
          </cell>
          <cell r="H483">
            <v>113</v>
          </cell>
          <cell r="I483">
            <v>570</v>
          </cell>
          <cell r="J483">
            <v>513</v>
          </cell>
          <cell r="K483">
            <v>426</v>
          </cell>
          <cell r="L483">
            <v>366</v>
          </cell>
          <cell r="M483">
            <v>306</v>
          </cell>
          <cell r="N483">
            <v>210</v>
          </cell>
          <cell r="O483">
            <v>113</v>
          </cell>
          <cell r="P483">
            <v>428</v>
          </cell>
          <cell r="Q483">
            <v>392</v>
          </cell>
          <cell r="R483">
            <v>333</v>
          </cell>
          <cell r="S483">
            <v>291</v>
          </cell>
          <cell r="T483">
            <v>248</v>
          </cell>
          <cell r="U483">
            <v>174</v>
          </cell>
          <cell r="V483">
            <v>99</v>
          </cell>
          <cell r="W483">
            <v>428</v>
          </cell>
          <cell r="X483">
            <v>392</v>
          </cell>
          <cell r="Y483">
            <v>333</v>
          </cell>
          <cell r="Z483">
            <v>291</v>
          </cell>
          <cell r="AA483">
            <v>248</v>
          </cell>
          <cell r="AB483">
            <v>174</v>
          </cell>
          <cell r="AC483">
            <v>99</v>
          </cell>
        </row>
        <row r="484">
          <cell r="A484" t="str">
            <v>14-20-26</v>
          </cell>
          <cell r="B484">
            <v>511</v>
          </cell>
          <cell r="C484">
            <v>461</v>
          </cell>
          <cell r="D484">
            <v>385</v>
          </cell>
          <cell r="E484">
            <v>332</v>
          </cell>
          <cell r="F484">
            <v>278</v>
          </cell>
          <cell r="G484">
            <v>190</v>
          </cell>
          <cell r="H484">
            <v>102</v>
          </cell>
          <cell r="I484">
            <v>511</v>
          </cell>
          <cell r="J484">
            <v>461</v>
          </cell>
          <cell r="K484">
            <v>385</v>
          </cell>
          <cell r="L484">
            <v>332</v>
          </cell>
          <cell r="M484">
            <v>278</v>
          </cell>
          <cell r="N484">
            <v>190</v>
          </cell>
          <cell r="O484">
            <v>102</v>
          </cell>
          <cell r="P484">
            <v>383</v>
          </cell>
          <cell r="Q484">
            <v>353</v>
          </cell>
          <cell r="R484">
            <v>301</v>
          </cell>
          <cell r="S484">
            <v>264</v>
          </cell>
          <cell r="T484">
            <v>226</v>
          </cell>
          <cell r="U484">
            <v>157</v>
          </cell>
          <cell r="V484">
            <v>88</v>
          </cell>
          <cell r="W484">
            <v>383</v>
          </cell>
          <cell r="X484">
            <v>353</v>
          </cell>
          <cell r="Y484">
            <v>301</v>
          </cell>
          <cell r="Z484">
            <v>264</v>
          </cell>
          <cell r="AA484">
            <v>226</v>
          </cell>
          <cell r="AB484">
            <v>157</v>
          </cell>
          <cell r="AC484">
            <v>88</v>
          </cell>
        </row>
        <row r="485">
          <cell r="A485" t="str">
            <v>14-21-26</v>
          </cell>
          <cell r="B485">
            <v>446</v>
          </cell>
          <cell r="C485">
            <v>405</v>
          </cell>
          <cell r="D485">
            <v>341</v>
          </cell>
          <cell r="E485">
            <v>294</v>
          </cell>
          <cell r="F485">
            <v>247</v>
          </cell>
          <cell r="G485">
            <v>169</v>
          </cell>
          <cell r="H485">
            <v>91</v>
          </cell>
          <cell r="I485">
            <v>446</v>
          </cell>
          <cell r="J485">
            <v>405</v>
          </cell>
          <cell r="K485">
            <v>341</v>
          </cell>
          <cell r="L485">
            <v>294</v>
          </cell>
          <cell r="M485">
            <v>247</v>
          </cell>
          <cell r="N485">
            <v>169</v>
          </cell>
          <cell r="O485">
            <v>91</v>
          </cell>
          <cell r="P485">
            <v>334</v>
          </cell>
          <cell r="Q485">
            <v>310</v>
          </cell>
          <cell r="R485">
            <v>267</v>
          </cell>
          <cell r="S485">
            <v>234</v>
          </cell>
          <cell r="T485">
            <v>201</v>
          </cell>
          <cell r="U485">
            <v>140</v>
          </cell>
          <cell r="V485">
            <v>79</v>
          </cell>
          <cell r="W485">
            <v>334</v>
          </cell>
          <cell r="X485">
            <v>310</v>
          </cell>
          <cell r="Y485">
            <v>267</v>
          </cell>
          <cell r="Z485">
            <v>234</v>
          </cell>
          <cell r="AA485">
            <v>201</v>
          </cell>
          <cell r="AB485">
            <v>140</v>
          </cell>
          <cell r="AC485">
            <v>79</v>
          </cell>
        </row>
        <row r="486">
          <cell r="A486" t="str">
            <v>15-17-26</v>
          </cell>
          <cell r="B486">
            <v>672</v>
          </cell>
          <cell r="C486">
            <v>598</v>
          </cell>
          <cell r="D486">
            <v>490</v>
          </cell>
          <cell r="E486">
            <v>416</v>
          </cell>
          <cell r="F486">
            <v>342</v>
          </cell>
          <cell r="G486">
            <v>234</v>
          </cell>
          <cell r="H486">
            <v>125</v>
          </cell>
          <cell r="I486">
            <v>672</v>
          </cell>
          <cell r="J486">
            <v>598</v>
          </cell>
          <cell r="K486">
            <v>490</v>
          </cell>
          <cell r="L486">
            <v>416</v>
          </cell>
          <cell r="M486">
            <v>342</v>
          </cell>
          <cell r="N486">
            <v>234</v>
          </cell>
          <cell r="O486">
            <v>125</v>
          </cell>
          <cell r="P486">
            <v>504</v>
          </cell>
          <cell r="Q486">
            <v>458</v>
          </cell>
          <cell r="R486">
            <v>384</v>
          </cell>
          <cell r="S486">
            <v>331</v>
          </cell>
          <cell r="T486">
            <v>278</v>
          </cell>
          <cell r="U486">
            <v>194</v>
          </cell>
          <cell r="V486">
            <v>109</v>
          </cell>
          <cell r="W486">
            <v>504</v>
          </cell>
          <cell r="X486">
            <v>458</v>
          </cell>
          <cell r="Y486">
            <v>384</v>
          </cell>
          <cell r="Z486">
            <v>331</v>
          </cell>
          <cell r="AA486">
            <v>278</v>
          </cell>
          <cell r="AB486">
            <v>194</v>
          </cell>
          <cell r="AC486">
            <v>109</v>
          </cell>
        </row>
        <row r="487">
          <cell r="A487" t="str">
            <v>15-18-26</v>
          </cell>
          <cell r="B487">
            <v>617</v>
          </cell>
          <cell r="C487">
            <v>551</v>
          </cell>
          <cell r="D487">
            <v>455</v>
          </cell>
          <cell r="E487">
            <v>390</v>
          </cell>
          <cell r="F487">
            <v>325</v>
          </cell>
          <cell r="G487">
            <v>222</v>
          </cell>
          <cell r="H487">
            <v>119</v>
          </cell>
          <cell r="I487">
            <v>617</v>
          </cell>
          <cell r="J487">
            <v>551</v>
          </cell>
          <cell r="K487">
            <v>455</v>
          </cell>
          <cell r="L487">
            <v>390</v>
          </cell>
          <cell r="M487">
            <v>325</v>
          </cell>
          <cell r="N487">
            <v>222</v>
          </cell>
          <cell r="O487">
            <v>119</v>
          </cell>
          <cell r="P487">
            <v>462</v>
          </cell>
          <cell r="Q487">
            <v>422</v>
          </cell>
          <cell r="R487">
            <v>356</v>
          </cell>
          <cell r="S487">
            <v>310</v>
          </cell>
          <cell r="T487">
            <v>264</v>
          </cell>
          <cell r="U487">
            <v>184</v>
          </cell>
          <cell r="V487">
            <v>104</v>
          </cell>
          <cell r="W487">
            <v>462</v>
          </cell>
          <cell r="X487">
            <v>422</v>
          </cell>
          <cell r="Y487">
            <v>356</v>
          </cell>
          <cell r="Z487">
            <v>310</v>
          </cell>
          <cell r="AA487">
            <v>264</v>
          </cell>
          <cell r="AB487">
            <v>184</v>
          </cell>
          <cell r="AC487">
            <v>104</v>
          </cell>
        </row>
        <row r="488">
          <cell r="A488" t="str">
            <v>15-19-26</v>
          </cell>
          <cell r="B488">
            <v>562</v>
          </cell>
          <cell r="C488">
            <v>505</v>
          </cell>
          <cell r="D488">
            <v>419</v>
          </cell>
          <cell r="E488">
            <v>360</v>
          </cell>
          <cell r="F488">
            <v>301</v>
          </cell>
          <cell r="G488">
            <v>206</v>
          </cell>
          <cell r="H488">
            <v>111</v>
          </cell>
          <cell r="I488">
            <v>562</v>
          </cell>
          <cell r="J488">
            <v>505</v>
          </cell>
          <cell r="K488">
            <v>419</v>
          </cell>
          <cell r="L488">
            <v>360</v>
          </cell>
          <cell r="M488">
            <v>301</v>
          </cell>
          <cell r="N488">
            <v>206</v>
          </cell>
          <cell r="O488">
            <v>111</v>
          </cell>
          <cell r="P488">
            <v>421</v>
          </cell>
          <cell r="Q488">
            <v>386</v>
          </cell>
          <cell r="R488">
            <v>328</v>
          </cell>
          <cell r="S488">
            <v>286</v>
          </cell>
          <cell r="T488">
            <v>244</v>
          </cell>
          <cell r="U488">
            <v>170</v>
          </cell>
          <cell r="V488">
            <v>96</v>
          </cell>
          <cell r="W488">
            <v>421</v>
          </cell>
          <cell r="X488">
            <v>386</v>
          </cell>
          <cell r="Y488">
            <v>328</v>
          </cell>
          <cell r="Z488">
            <v>286</v>
          </cell>
          <cell r="AA488">
            <v>244</v>
          </cell>
          <cell r="AB488">
            <v>170</v>
          </cell>
          <cell r="AC488">
            <v>96</v>
          </cell>
        </row>
        <row r="489">
          <cell r="A489" t="str">
            <v>15-20-26</v>
          </cell>
          <cell r="B489">
            <v>503</v>
          </cell>
          <cell r="C489">
            <v>455</v>
          </cell>
          <cell r="D489">
            <v>380</v>
          </cell>
          <cell r="E489">
            <v>328</v>
          </cell>
          <cell r="F489">
            <v>275</v>
          </cell>
          <cell r="G489">
            <v>189</v>
          </cell>
          <cell r="H489">
            <v>102</v>
          </cell>
          <cell r="I489">
            <v>503</v>
          </cell>
          <cell r="J489">
            <v>455</v>
          </cell>
          <cell r="K489">
            <v>380</v>
          </cell>
          <cell r="L489">
            <v>328</v>
          </cell>
          <cell r="M489">
            <v>275</v>
          </cell>
          <cell r="N489">
            <v>189</v>
          </cell>
          <cell r="O489">
            <v>102</v>
          </cell>
          <cell r="P489">
            <v>377</v>
          </cell>
          <cell r="Q489">
            <v>348</v>
          </cell>
          <cell r="R489">
            <v>297</v>
          </cell>
          <cell r="S489">
            <v>260</v>
          </cell>
          <cell r="T489">
            <v>223</v>
          </cell>
          <cell r="U489">
            <v>156</v>
          </cell>
          <cell r="V489">
            <v>88</v>
          </cell>
          <cell r="W489">
            <v>377</v>
          </cell>
          <cell r="X489">
            <v>348</v>
          </cell>
          <cell r="Y489">
            <v>297</v>
          </cell>
          <cell r="Z489">
            <v>260</v>
          </cell>
          <cell r="AA489">
            <v>223</v>
          </cell>
          <cell r="AB489">
            <v>156</v>
          </cell>
          <cell r="AC489">
            <v>88</v>
          </cell>
        </row>
        <row r="490">
          <cell r="A490" t="str">
            <v>15-21-26</v>
          </cell>
          <cell r="B490">
            <v>440</v>
          </cell>
          <cell r="C490">
            <v>400</v>
          </cell>
          <cell r="D490">
            <v>336</v>
          </cell>
          <cell r="E490">
            <v>290</v>
          </cell>
          <cell r="F490">
            <v>244</v>
          </cell>
          <cell r="G490">
            <v>167</v>
          </cell>
          <cell r="H490">
            <v>90</v>
          </cell>
          <cell r="I490">
            <v>440</v>
          </cell>
          <cell r="J490">
            <v>400</v>
          </cell>
          <cell r="K490">
            <v>336</v>
          </cell>
          <cell r="L490">
            <v>290</v>
          </cell>
          <cell r="M490">
            <v>244</v>
          </cell>
          <cell r="N490">
            <v>167</v>
          </cell>
          <cell r="O490">
            <v>90</v>
          </cell>
          <cell r="P490">
            <v>330</v>
          </cell>
          <cell r="Q490">
            <v>306</v>
          </cell>
          <cell r="R490">
            <v>263</v>
          </cell>
          <cell r="S490">
            <v>231</v>
          </cell>
          <cell r="T490">
            <v>199</v>
          </cell>
          <cell r="U490">
            <v>139</v>
          </cell>
          <cell r="V490">
            <v>78</v>
          </cell>
          <cell r="W490">
            <v>330</v>
          </cell>
          <cell r="X490">
            <v>306</v>
          </cell>
          <cell r="Y490">
            <v>263</v>
          </cell>
          <cell r="Z490">
            <v>231</v>
          </cell>
          <cell r="AA490">
            <v>199</v>
          </cell>
          <cell r="AB490">
            <v>139</v>
          </cell>
          <cell r="AC490">
            <v>78</v>
          </cell>
        </row>
        <row r="491">
          <cell r="A491" t="str">
            <v>16-18-26</v>
          </cell>
          <cell r="B491">
            <v>607</v>
          </cell>
          <cell r="C491">
            <v>542</v>
          </cell>
          <cell r="D491">
            <v>447</v>
          </cell>
          <cell r="E491">
            <v>383</v>
          </cell>
          <cell r="F491">
            <v>318</v>
          </cell>
          <cell r="G491">
            <v>218</v>
          </cell>
          <cell r="H491">
            <v>117</v>
          </cell>
          <cell r="I491">
            <v>607</v>
          </cell>
          <cell r="J491">
            <v>542</v>
          </cell>
          <cell r="K491">
            <v>447</v>
          </cell>
          <cell r="L491">
            <v>383</v>
          </cell>
          <cell r="M491">
            <v>318</v>
          </cell>
          <cell r="N491">
            <v>218</v>
          </cell>
          <cell r="O491">
            <v>117</v>
          </cell>
          <cell r="P491">
            <v>455</v>
          </cell>
          <cell r="Q491">
            <v>415</v>
          </cell>
          <cell r="R491">
            <v>350</v>
          </cell>
          <cell r="S491">
            <v>305</v>
          </cell>
          <cell r="T491">
            <v>259</v>
          </cell>
          <cell r="U491">
            <v>181</v>
          </cell>
          <cell r="V491">
            <v>102</v>
          </cell>
          <cell r="W491">
            <v>455</v>
          </cell>
          <cell r="X491">
            <v>415</v>
          </cell>
          <cell r="Y491">
            <v>350</v>
          </cell>
          <cell r="Z491">
            <v>305</v>
          </cell>
          <cell r="AA491">
            <v>259</v>
          </cell>
          <cell r="AB491">
            <v>181</v>
          </cell>
          <cell r="AC491">
            <v>102</v>
          </cell>
        </row>
        <row r="492">
          <cell r="A492" t="str">
            <v>16-19-26</v>
          </cell>
          <cell r="B492">
            <v>551</v>
          </cell>
          <cell r="C492">
            <v>495</v>
          </cell>
          <cell r="D492">
            <v>410</v>
          </cell>
          <cell r="E492">
            <v>353</v>
          </cell>
          <cell r="F492">
            <v>295</v>
          </cell>
          <cell r="G492">
            <v>202</v>
          </cell>
          <cell r="H492">
            <v>108</v>
          </cell>
          <cell r="I492">
            <v>551</v>
          </cell>
          <cell r="J492">
            <v>495</v>
          </cell>
          <cell r="K492">
            <v>410</v>
          </cell>
          <cell r="L492">
            <v>353</v>
          </cell>
          <cell r="M492">
            <v>295</v>
          </cell>
          <cell r="N492">
            <v>202</v>
          </cell>
          <cell r="O492">
            <v>108</v>
          </cell>
          <cell r="P492">
            <v>413</v>
          </cell>
          <cell r="Q492">
            <v>378</v>
          </cell>
          <cell r="R492">
            <v>321</v>
          </cell>
          <cell r="S492">
            <v>280</v>
          </cell>
          <cell r="T492">
            <v>239</v>
          </cell>
          <cell r="U492">
            <v>167</v>
          </cell>
          <cell r="V492">
            <v>94</v>
          </cell>
          <cell r="W492">
            <v>413</v>
          </cell>
          <cell r="X492">
            <v>378</v>
          </cell>
          <cell r="Y492">
            <v>321</v>
          </cell>
          <cell r="Z492">
            <v>280</v>
          </cell>
          <cell r="AA492">
            <v>239</v>
          </cell>
          <cell r="AB492">
            <v>167</v>
          </cell>
          <cell r="AC492">
            <v>94</v>
          </cell>
        </row>
        <row r="493">
          <cell r="A493" t="str">
            <v>16-20-26</v>
          </cell>
          <cell r="B493">
            <v>495</v>
          </cell>
          <cell r="C493">
            <v>447</v>
          </cell>
          <cell r="D493">
            <v>372</v>
          </cell>
          <cell r="E493">
            <v>321</v>
          </cell>
          <cell r="F493">
            <v>269</v>
          </cell>
          <cell r="G493">
            <v>185</v>
          </cell>
          <cell r="H493">
            <v>100</v>
          </cell>
          <cell r="I493">
            <v>495</v>
          </cell>
          <cell r="J493">
            <v>447</v>
          </cell>
          <cell r="K493">
            <v>372</v>
          </cell>
          <cell r="L493">
            <v>321</v>
          </cell>
          <cell r="M493">
            <v>269</v>
          </cell>
          <cell r="N493">
            <v>185</v>
          </cell>
          <cell r="O493">
            <v>100</v>
          </cell>
          <cell r="P493">
            <v>371</v>
          </cell>
          <cell r="Q493">
            <v>342</v>
          </cell>
          <cell r="R493">
            <v>291</v>
          </cell>
          <cell r="S493">
            <v>255</v>
          </cell>
          <cell r="T493">
            <v>219</v>
          </cell>
          <cell r="U493">
            <v>153</v>
          </cell>
          <cell r="V493">
            <v>87</v>
          </cell>
          <cell r="W493">
            <v>371</v>
          </cell>
          <cell r="X493">
            <v>342</v>
          </cell>
          <cell r="Y493">
            <v>291</v>
          </cell>
          <cell r="Z493">
            <v>255</v>
          </cell>
          <cell r="AA493">
            <v>219</v>
          </cell>
          <cell r="AB493">
            <v>153</v>
          </cell>
          <cell r="AC493">
            <v>87</v>
          </cell>
        </row>
        <row r="494">
          <cell r="A494" t="str">
            <v>16-21-26</v>
          </cell>
          <cell r="B494">
            <v>433</v>
          </cell>
          <cell r="C494">
            <v>395</v>
          </cell>
          <cell r="D494">
            <v>331</v>
          </cell>
          <cell r="E494">
            <v>287</v>
          </cell>
          <cell r="F494">
            <v>242</v>
          </cell>
          <cell r="G494">
            <v>166</v>
          </cell>
          <cell r="H494">
            <v>90</v>
          </cell>
          <cell r="I494">
            <v>433</v>
          </cell>
          <cell r="J494">
            <v>395</v>
          </cell>
          <cell r="K494">
            <v>331</v>
          </cell>
          <cell r="L494">
            <v>287</v>
          </cell>
          <cell r="M494">
            <v>242</v>
          </cell>
          <cell r="N494">
            <v>166</v>
          </cell>
          <cell r="O494">
            <v>90</v>
          </cell>
          <cell r="P494">
            <v>325</v>
          </cell>
          <cell r="Q494">
            <v>302</v>
          </cell>
          <cell r="R494">
            <v>259</v>
          </cell>
          <cell r="S494">
            <v>228</v>
          </cell>
          <cell r="T494">
            <v>197</v>
          </cell>
          <cell r="U494">
            <v>138</v>
          </cell>
          <cell r="V494">
            <v>78</v>
          </cell>
          <cell r="W494">
            <v>325</v>
          </cell>
          <cell r="X494">
            <v>302</v>
          </cell>
          <cell r="Y494">
            <v>259</v>
          </cell>
          <cell r="Z494">
            <v>228</v>
          </cell>
          <cell r="AA494">
            <v>197</v>
          </cell>
          <cell r="AB494">
            <v>138</v>
          </cell>
          <cell r="AC494">
            <v>78</v>
          </cell>
        </row>
        <row r="495">
          <cell r="A495" t="str">
            <v>17-19-26</v>
          </cell>
          <cell r="B495">
            <v>541</v>
          </cell>
          <cell r="C495">
            <v>486</v>
          </cell>
          <cell r="D495">
            <v>402</v>
          </cell>
          <cell r="E495">
            <v>345</v>
          </cell>
          <cell r="F495">
            <v>288</v>
          </cell>
          <cell r="G495">
            <v>198</v>
          </cell>
          <cell r="H495">
            <v>107</v>
          </cell>
          <cell r="I495">
            <v>541</v>
          </cell>
          <cell r="J495">
            <v>486</v>
          </cell>
          <cell r="K495">
            <v>402</v>
          </cell>
          <cell r="L495">
            <v>345</v>
          </cell>
          <cell r="M495">
            <v>288</v>
          </cell>
          <cell r="N495">
            <v>198</v>
          </cell>
          <cell r="O495">
            <v>107</v>
          </cell>
          <cell r="P495">
            <v>406</v>
          </cell>
          <cell r="Q495">
            <v>372</v>
          </cell>
          <cell r="R495">
            <v>314</v>
          </cell>
          <cell r="S495">
            <v>274</v>
          </cell>
          <cell r="T495">
            <v>234</v>
          </cell>
          <cell r="U495">
            <v>164</v>
          </cell>
          <cell r="V495">
            <v>93</v>
          </cell>
          <cell r="W495">
            <v>406</v>
          </cell>
          <cell r="X495">
            <v>372</v>
          </cell>
          <cell r="Y495">
            <v>314</v>
          </cell>
          <cell r="Z495">
            <v>274</v>
          </cell>
          <cell r="AA495">
            <v>234</v>
          </cell>
          <cell r="AB495">
            <v>164</v>
          </cell>
          <cell r="AC495">
            <v>93</v>
          </cell>
        </row>
        <row r="496">
          <cell r="A496" t="str">
            <v>17-20-26</v>
          </cell>
          <cell r="B496">
            <v>484</v>
          </cell>
          <cell r="C496">
            <v>436</v>
          </cell>
          <cell r="D496">
            <v>364</v>
          </cell>
          <cell r="E496">
            <v>314</v>
          </cell>
          <cell r="F496">
            <v>263</v>
          </cell>
          <cell r="G496">
            <v>181</v>
          </cell>
          <cell r="H496">
            <v>98</v>
          </cell>
          <cell r="I496">
            <v>484</v>
          </cell>
          <cell r="J496">
            <v>436</v>
          </cell>
          <cell r="K496">
            <v>364</v>
          </cell>
          <cell r="L496">
            <v>314</v>
          </cell>
          <cell r="M496">
            <v>263</v>
          </cell>
          <cell r="N496">
            <v>181</v>
          </cell>
          <cell r="O496">
            <v>98</v>
          </cell>
          <cell r="P496">
            <v>363</v>
          </cell>
          <cell r="Q496">
            <v>334</v>
          </cell>
          <cell r="R496">
            <v>285</v>
          </cell>
          <cell r="S496">
            <v>250</v>
          </cell>
          <cell r="T496">
            <v>214</v>
          </cell>
          <cell r="U496">
            <v>150</v>
          </cell>
          <cell r="V496">
            <v>86</v>
          </cell>
          <cell r="W496">
            <v>363</v>
          </cell>
          <cell r="X496">
            <v>334</v>
          </cell>
          <cell r="Y496">
            <v>285</v>
          </cell>
          <cell r="Z496">
            <v>250</v>
          </cell>
          <cell r="AA496">
            <v>214</v>
          </cell>
          <cell r="AB496">
            <v>150</v>
          </cell>
          <cell r="AC496">
            <v>86</v>
          </cell>
        </row>
        <row r="497">
          <cell r="A497" t="str">
            <v>17-21-26</v>
          </cell>
          <cell r="B497">
            <v>426</v>
          </cell>
          <cell r="C497">
            <v>386</v>
          </cell>
          <cell r="D497">
            <v>325</v>
          </cell>
          <cell r="E497">
            <v>281</v>
          </cell>
          <cell r="F497">
            <v>237</v>
          </cell>
          <cell r="G497">
            <v>163</v>
          </cell>
          <cell r="H497">
            <v>89</v>
          </cell>
          <cell r="I497">
            <v>426</v>
          </cell>
          <cell r="J497">
            <v>386</v>
          </cell>
          <cell r="K497">
            <v>325</v>
          </cell>
          <cell r="L497">
            <v>281</v>
          </cell>
          <cell r="M497">
            <v>237</v>
          </cell>
          <cell r="N497">
            <v>163</v>
          </cell>
          <cell r="O497">
            <v>89</v>
          </cell>
          <cell r="P497">
            <v>319</v>
          </cell>
          <cell r="Q497">
            <v>295</v>
          </cell>
          <cell r="R497">
            <v>254</v>
          </cell>
          <cell r="S497">
            <v>224</v>
          </cell>
          <cell r="T497">
            <v>193</v>
          </cell>
          <cell r="U497">
            <v>136</v>
          </cell>
          <cell r="V497">
            <v>78</v>
          </cell>
          <cell r="W497">
            <v>319</v>
          </cell>
          <cell r="X497">
            <v>295</v>
          </cell>
          <cell r="Y497">
            <v>254</v>
          </cell>
          <cell r="Z497">
            <v>224</v>
          </cell>
          <cell r="AA497">
            <v>193</v>
          </cell>
          <cell r="AB497">
            <v>136</v>
          </cell>
          <cell r="AC497">
            <v>78</v>
          </cell>
        </row>
        <row r="498">
          <cell r="A498" t="str">
            <v>18-20-26</v>
          </cell>
          <cell r="B498">
            <v>474</v>
          </cell>
          <cell r="C498">
            <v>426</v>
          </cell>
          <cell r="D498">
            <v>355</v>
          </cell>
          <cell r="E498">
            <v>306</v>
          </cell>
          <cell r="F498">
            <v>257</v>
          </cell>
          <cell r="G498">
            <v>177</v>
          </cell>
          <cell r="H498">
            <v>96</v>
          </cell>
          <cell r="I498">
            <v>474</v>
          </cell>
          <cell r="J498">
            <v>426</v>
          </cell>
          <cell r="K498">
            <v>355</v>
          </cell>
          <cell r="L498">
            <v>306</v>
          </cell>
          <cell r="M498">
            <v>257</v>
          </cell>
          <cell r="N498">
            <v>177</v>
          </cell>
          <cell r="O498">
            <v>96</v>
          </cell>
          <cell r="P498">
            <v>355</v>
          </cell>
          <cell r="Q498">
            <v>326</v>
          </cell>
          <cell r="R498">
            <v>278</v>
          </cell>
          <cell r="S498">
            <v>244</v>
          </cell>
          <cell r="T498">
            <v>209</v>
          </cell>
          <cell r="U498">
            <v>146</v>
          </cell>
          <cell r="V498">
            <v>83</v>
          </cell>
          <cell r="W498">
            <v>355</v>
          </cell>
          <cell r="X498">
            <v>326</v>
          </cell>
          <cell r="Y498">
            <v>278</v>
          </cell>
          <cell r="Z498">
            <v>244</v>
          </cell>
          <cell r="AA498">
            <v>209</v>
          </cell>
          <cell r="AB498">
            <v>146</v>
          </cell>
          <cell r="AC498">
            <v>83</v>
          </cell>
        </row>
        <row r="499">
          <cell r="A499" t="str">
            <v>18-21-26</v>
          </cell>
          <cell r="B499">
            <v>415</v>
          </cell>
          <cell r="C499">
            <v>376</v>
          </cell>
          <cell r="D499">
            <v>316</v>
          </cell>
          <cell r="E499">
            <v>274</v>
          </cell>
          <cell r="F499">
            <v>231</v>
          </cell>
          <cell r="G499">
            <v>159</v>
          </cell>
          <cell r="H499">
            <v>87</v>
          </cell>
          <cell r="I499">
            <v>415</v>
          </cell>
          <cell r="J499">
            <v>376</v>
          </cell>
          <cell r="K499">
            <v>316</v>
          </cell>
          <cell r="L499">
            <v>274</v>
          </cell>
          <cell r="M499">
            <v>231</v>
          </cell>
          <cell r="N499">
            <v>159</v>
          </cell>
          <cell r="O499">
            <v>87</v>
          </cell>
          <cell r="P499">
            <v>311</v>
          </cell>
          <cell r="Q499">
            <v>288</v>
          </cell>
          <cell r="R499">
            <v>248</v>
          </cell>
          <cell r="S499">
            <v>218</v>
          </cell>
          <cell r="T499">
            <v>187</v>
          </cell>
          <cell r="U499">
            <v>131</v>
          </cell>
          <cell r="V499">
            <v>75</v>
          </cell>
          <cell r="W499">
            <v>311</v>
          </cell>
          <cell r="X499">
            <v>288</v>
          </cell>
          <cell r="Y499">
            <v>248</v>
          </cell>
          <cell r="Z499">
            <v>218</v>
          </cell>
          <cell r="AA499">
            <v>187</v>
          </cell>
          <cell r="AB499">
            <v>131</v>
          </cell>
          <cell r="AC499">
            <v>75</v>
          </cell>
        </row>
        <row r="500">
          <cell r="A500" t="str">
            <v>18-22-26</v>
          </cell>
          <cell r="B500">
            <v>353</v>
          </cell>
          <cell r="C500">
            <v>323</v>
          </cell>
          <cell r="D500">
            <v>275</v>
          </cell>
          <cell r="E500">
            <v>239</v>
          </cell>
          <cell r="F500">
            <v>203</v>
          </cell>
          <cell r="G500">
            <v>140</v>
          </cell>
          <cell r="H500">
            <v>77</v>
          </cell>
          <cell r="I500">
            <v>353</v>
          </cell>
          <cell r="J500">
            <v>323</v>
          </cell>
          <cell r="K500">
            <v>275</v>
          </cell>
          <cell r="L500">
            <v>239</v>
          </cell>
          <cell r="M500">
            <v>203</v>
          </cell>
          <cell r="N500">
            <v>140</v>
          </cell>
          <cell r="O500">
            <v>77</v>
          </cell>
          <cell r="P500">
            <v>264</v>
          </cell>
          <cell r="Q500">
            <v>247</v>
          </cell>
          <cell r="R500">
            <v>216</v>
          </cell>
          <cell r="S500">
            <v>190</v>
          </cell>
          <cell r="T500">
            <v>164</v>
          </cell>
          <cell r="U500">
            <v>115</v>
          </cell>
          <cell r="V500">
            <v>66</v>
          </cell>
          <cell r="W500">
            <v>264</v>
          </cell>
          <cell r="X500">
            <v>247</v>
          </cell>
          <cell r="Y500">
            <v>216</v>
          </cell>
          <cell r="Z500">
            <v>190</v>
          </cell>
          <cell r="AA500">
            <v>164</v>
          </cell>
          <cell r="AB500">
            <v>115</v>
          </cell>
          <cell r="AC500">
            <v>66</v>
          </cell>
        </row>
        <row r="501">
          <cell r="A501" t="str">
            <v>19-21-26</v>
          </cell>
          <cell r="B501">
            <v>404</v>
          </cell>
          <cell r="C501">
            <v>366</v>
          </cell>
          <cell r="D501">
            <v>306</v>
          </cell>
          <cell r="E501">
            <v>265</v>
          </cell>
          <cell r="F501">
            <v>223</v>
          </cell>
          <cell r="G501">
            <v>154</v>
          </cell>
          <cell r="H501">
            <v>84</v>
          </cell>
          <cell r="I501">
            <v>404</v>
          </cell>
          <cell r="J501">
            <v>366</v>
          </cell>
          <cell r="K501">
            <v>306</v>
          </cell>
          <cell r="L501">
            <v>265</v>
          </cell>
          <cell r="M501">
            <v>223</v>
          </cell>
          <cell r="N501">
            <v>154</v>
          </cell>
          <cell r="O501">
            <v>84</v>
          </cell>
          <cell r="P501">
            <v>303</v>
          </cell>
          <cell r="Q501">
            <v>280</v>
          </cell>
          <cell r="R501">
            <v>240</v>
          </cell>
          <cell r="S501">
            <v>211</v>
          </cell>
          <cell r="T501">
            <v>181</v>
          </cell>
          <cell r="U501">
            <v>127</v>
          </cell>
          <cell r="V501">
            <v>73</v>
          </cell>
          <cell r="W501">
            <v>303</v>
          </cell>
          <cell r="X501">
            <v>280</v>
          </cell>
          <cell r="Y501">
            <v>240</v>
          </cell>
          <cell r="Z501">
            <v>211</v>
          </cell>
          <cell r="AA501">
            <v>181</v>
          </cell>
          <cell r="AB501">
            <v>127</v>
          </cell>
          <cell r="AC501">
            <v>73</v>
          </cell>
        </row>
        <row r="502">
          <cell r="A502" t="str">
            <v>4-6-27</v>
          </cell>
          <cell r="B502">
            <v>2073</v>
          </cell>
          <cell r="C502">
            <v>1795</v>
          </cell>
          <cell r="D502">
            <v>1446</v>
          </cell>
          <cell r="E502">
            <v>1234</v>
          </cell>
          <cell r="F502">
            <v>1022</v>
          </cell>
          <cell r="G502">
            <v>712</v>
          </cell>
          <cell r="H502">
            <v>402</v>
          </cell>
          <cell r="I502">
            <v>1304</v>
          </cell>
          <cell r="J502">
            <v>1123</v>
          </cell>
          <cell r="K502">
            <v>899</v>
          </cell>
          <cell r="L502">
            <v>766</v>
          </cell>
          <cell r="M502">
            <v>633</v>
          </cell>
          <cell r="N502">
            <v>441</v>
          </cell>
          <cell r="O502">
            <v>248</v>
          </cell>
          <cell r="P502">
            <v>1554</v>
          </cell>
          <cell r="Q502">
            <v>1373</v>
          </cell>
          <cell r="R502">
            <v>1132</v>
          </cell>
          <cell r="S502">
            <v>981</v>
          </cell>
          <cell r="T502">
            <v>830</v>
          </cell>
          <cell r="U502">
            <v>590</v>
          </cell>
          <cell r="V502">
            <v>350</v>
          </cell>
          <cell r="W502">
            <v>977</v>
          </cell>
          <cell r="X502">
            <v>859</v>
          </cell>
          <cell r="Y502">
            <v>704</v>
          </cell>
          <cell r="Z502">
            <v>609</v>
          </cell>
          <cell r="AA502">
            <v>514</v>
          </cell>
          <cell r="AB502">
            <v>365</v>
          </cell>
          <cell r="AC502">
            <v>216</v>
          </cell>
        </row>
        <row r="503">
          <cell r="A503" t="str">
            <v>4-7-27</v>
          </cell>
          <cell r="B503">
            <v>1965</v>
          </cell>
          <cell r="C503">
            <v>1707</v>
          </cell>
          <cell r="D503">
            <v>1379</v>
          </cell>
          <cell r="E503">
            <v>1177</v>
          </cell>
          <cell r="F503">
            <v>975</v>
          </cell>
          <cell r="G503">
            <v>680</v>
          </cell>
          <cell r="H503">
            <v>384</v>
          </cell>
          <cell r="I503">
            <v>1255</v>
          </cell>
          <cell r="J503">
            <v>1083</v>
          </cell>
          <cell r="K503">
            <v>869</v>
          </cell>
          <cell r="L503">
            <v>741</v>
          </cell>
          <cell r="M503">
            <v>612</v>
          </cell>
          <cell r="N503">
            <v>426</v>
          </cell>
          <cell r="O503">
            <v>239</v>
          </cell>
          <cell r="P503">
            <v>1473</v>
          </cell>
          <cell r="Q503">
            <v>1306</v>
          </cell>
          <cell r="R503">
            <v>1079</v>
          </cell>
          <cell r="S503">
            <v>936</v>
          </cell>
          <cell r="T503">
            <v>792</v>
          </cell>
          <cell r="U503">
            <v>563</v>
          </cell>
          <cell r="V503">
            <v>334</v>
          </cell>
          <cell r="W503">
            <v>941</v>
          </cell>
          <cell r="X503">
            <v>828</v>
          </cell>
          <cell r="Y503">
            <v>680</v>
          </cell>
          <cell r="Z503">
            <v>589</v>
          </cell>
          <cell r="AA503">
            <v>497</v>
          </cell>
          <cell r="AB503">
            <v>353</v>
          </cell>
          <cell r="AC503">
            <v>208</v>
          </cell>
        </row>
        <row r="504">
          <cell r="A504" t="str">
            <v>4-8-27</v>
          </cell>
          <cell r="B504">
            <v>1855</v>
          </cell>
          <cell r="C504">
            <v>1617</v>
          </cell>
          <cell r="D504">
            <v>1309</v>
          </cell>
          <cell r="E504">
            <v>1119</v>
          </cell>
          <cell r="F504">
            <v>928</v>
          </cell>
          <cell r="G504">
            <v>646</v>
          </cell>
          <cell r="H504">
            <v>364</v>
          </cell>
          <cell r="I504">
            <v>1207</v>
          </cell>
          <cell r="J504">
            <v>1044</v>
          </cell>
          <cell r="K504">
            <v>839</v>
          </cell>
          <cell r="L504">
            <v>714</v>
          </cell>
          <cell r="M504">
            <v>589</v>
          </cell>
          <cell r="N504">
            <v>409</v>
          </cell>
          <cell r="O504">
            <v>229</v>
          </cell>
          <cell r="P504">
            <v>1391</v>
          </cell>
          <cell r="Q504">
            <v>1237</v>
          </cell>
          <cell r="R504">
            <v>1025</v>
          </cell>
          <cell r="S504">
            <v>890</v>
          </cell>
          <cell r="T504">
            <v>754</v>
          </cell>
          <cell r="U504">
            <v>536</v>
          </cell>
          <cell r="V504">
            <v>317</v>
          </cell>
          <cell r="W504">
            <v>905</v>
          </cell>
          <cell r="X504">
            <v>799</v>
          </cell>
          <cell r="Y504">
            <v>657</v>
          </cell>
          <cell r="Z504">
            <v>568</v>
          </cell>
          <cell r="AA504">
            <v>479</v>
          </cell>
          <cell r="AB504">
            <v>339</v>
          </cell>
          <cell r="AC504">
            <v>199</v>
          </cell>
        </row>
        <row r="505">
          <cell r="A505" t="str">
            <v>4-9-27</v>
          </cell>
          <cell r="B505">
            <v>1742</v>
          </cell>
          <cell r="C505">
            <v>1523</v>
          </cell>
          <cell r="D505">
            <v>1238</v>
          </cell>
          <cell r="E505">
            <v>1058</v>
          </cell>
          <cell r="F505">
            <v>878</v>
          </cell>
          <cell r="G505">
            <v>611</v>
          </cell>
          <cell r="H505">
            <v>343</v>
          </cell>
          <cell r="I505">
            <v>1161</v>
          </cell>
          <cell r="J505">
            <v>1005</v>
          </cell>
          <cell r="K505">
            <v>810</v>
          </cell>
          <cell r="L505">
            <v>689</v>
          </cell>
          <cell r="M505">
            <v>568</v>
          </cell>
          <cell r="N505">
            <v>394</v>
          </cell>
          <cell r="O505">
            <v>219</v>
          </cell>
          <cell r="P505">
            <v>1306</v>
          </cell>
          <cell r="Q505">
            <v>1166</v>
          </cell>
          <cell r="R505">
            <v>969</v>
          </cell>
          <cell r="S505">
            <v>841</v>
          </cell>
          <cell r="T505">
            <v>713</v>
          </cell>
          <cell r="U505">
            <v>506</v>
          </cell>
          <cell r="V505">
            <v>299</v>
          </cell>
          <cell r="W505">
            <v>870</v>
          </cell>
          <cell r="X505">
            <v>769</v>
          </cell>
          <cell r="Y505">
            <v>634</v>
          </cell>
          <cell r="Z505">
            <v>548</v>
          </cell>
          <cell r="AA505">
            <v>461</v>
          </cell>
          <cell r="AB505">
            <v>326</v>
          </cell>
          <cell r="AC505">
            <v>191</v>
          </cell>
        </row>
        <row r="506">
          <cell r="A506" t="str">
            <v>4-10-27</v>
          </cell>
          <cell r="B506">
            <v>1624</v>
          </cell>
          <cell r="C506">
            <v>1426</v>
          </cell>
          <cell r="D506">
            <v>1163</v>
          </cell>
          <cell r="E506">
            <v>995</v>
          </cell>
          <cell r="F506">
            <v>826</v>
          </cell>
          <cell r="G506">
            <v>574</v>
          </cell>
          <cell r="H506">
            <v>321</v>
          </cell>
          <cell r="I506">
            <v>1114</v>
          </cell>
          <cell r="J506">
            <v>967</v>
          </cell>
          <cell r="K506">
            <v>779</v>
          </cell>
          <cell r="L506">
            <v>662</v>
          </cell>
          <cell r="M506">
            <v>545</v>
          </cell>
          <cell r="N506">
            <v>378</v>
          </cell>
          <cell r="O506">
            <v>210</v>
          </cell>
          <cell r="P506">
            <v>1217</v>
          </cell>
          <cell r="Q506">
            <v>1091</v>
          </cell>
          <cell r="R506">
            <v>911</v>
          </cell>
          <cell r="S506">
            <v>791</v>
          </cell>
          <cell r="T506">
            <v>671</v>
          </cell>
          <cell r="U506">
            <v>476</v>
          </cell>
          <cell r="V506">
            <v>280</v>
          </cell>
          <cell r="W506">
            <v>835</v>
          </cell>
          <cell r="X506">
            <v>740</v>
          </cell>
          <cell r="Y506">
            <v>610</v>
          </cell>
          <cell r="Z506">
            <v>527</v>
          </cell>
          <cell r="AA506">
            <v>443</v>
          </cell>
          <cell r="AB506">
            <v>313</v>
          </cell>
          <cell r="AC506">
            <v>183</v>
          </cell>
        </row>
        <row r="507">
          <cell r="A507" t="str">
            <v>4-11-27</v>
          </cell>
          <cell r="B507">
            <v>1500</v>
          </cell>
          <cell r="C507">
            <v>1323</v>
          </cell>
          <cell r="D507">
            <v>1083</v>
          </cell>
          <cell r="E507">
            <v>927</v>
          </cell>
          <cell r="F507">
            <v>771</v>
          </cell>
          <cell r="G507">
            <v>535</v>
          </cell>
          <cell r="H507">
            <v>299</v>
          </cell>
          <cell r="I507">
            <v>1065</v>
          </cell>
          <cell r="J507">
            <v>926</v>
          </cell>
          <cell r="K507">
            <v>748</v>
          </cell>
          <cell r="L507">
            <v>636</v>
          </cell>
          <cell r="M507">
            <v>524</v>
          </cell>
          <cell r="N507">
            <v>362</v>
          </cell>
          <cell r="O507">
            <v>200</v>
          </cell>
          <cell r="P507">
            <v>1124</v>
          </cell>
          <cell r="Q507">
            <v>1012</v>
          </cell>
          <cell r="R507">
            <v>848</v>
          </cell>
          <cell r="S507">
            <v>737</v>
          </cell>
          <cell r="T507">
            <v>626</v>
          </cell>
          <cell r="U507">
            <v>443</v>
          </cell>
          <cell r="V507">
            <v>260</v>
          </cell>
          <cell r="W507">
            <v>798</v>
          </cell>
          <cell r="X507">
            <v>709</v>
          </cell>
          <cell r="Y507">
            <v>586</v>
          </cell>
          <cell r="Z507">
            <v>506</v>
          </cell>
          <cell r="AA507">
            <v>425</v>
          </cell>
          <cell r="AB507">
            <v>300</v>
          </cell>
          <cell r="AC507">
            <v>174</v>
          </cell>
        </row>
        <row r="508">
          <cell r="A508" t="str">
            <v>4-12-27</v>
          </cell>
          <cell r="B508">
            <v>1367</v>
          </cell>
          <cell r="C508">
            <v>1210</v>
          </cell>
          <cell r="D508">
            <v>996</v>
          </cell>
          <cell r="E508">
            <v>853</v>
          </cell>
          <cell r="F508">
            <v>710</v>
          </cell>
          <cell r="G508">
            <v>492</v>
          </cell>
          <cell r="H508">
            <v>274</v>
          </cell>
          <cell r="I508">
            <v>1015</v>
          </cell>
          <cell r="J508">
            <v>884</v>
          </cell>
          <cell r="K508">
            <v>715</v>
          </cell>
          <cell r="L508">
            <v>608</v>
          </cell>
          <cell r="M508">
            <v>501</v>
          </cell>
          <cell r="N508">
            <v>346</v>
          </cell>
          <cell r="O508">
            <v>190</v>
          </cell>
          <cell r="P508">
            <v>1025</v>
          </cell>
          <cell r="Q508">
            <v>926</v>
          </cell>
          <cell r="R508">
            <v>779</v>
          </cell>
          <cell r="S508">
            <v>678</v>
          </cell>
          <cell r="T508">
            <v>576</v>
          </cell>
          <cell r="U508">
            <v>407</v>
          </cell>
          <cell r="V508">
            <v>238</v>
          </cell>
          <cell r="W508">
            <v>761</v>
          </cell>
          <cell r="X508">
            <v>677</v>
          </cell>
          <cell r="Y508">
            <v>559</v>
          </cell>
          <cell r="Z508">
            <v>483</v>
          </cell>
          <cell r="AA508">
            <v>406</v>
          </cell>
          <cell r="AB508">
            <v>286</v>
          </cell>
          <cell r="AC508">
            <v>165</v>
          </cell>
        </row>
        <row r="509">
          <cell r="A509" t="str">
            <v>5-7-27</v>
          </cell>
          <cell r="B509">
            <v>1965</v>
          </cell>
          <cell r="C509">
            <v>1705</v>
          </cell>
          <cell r="D509">
            <v>1375</v>
          </cell>
          <cell r="E509">
            <v>1173</v>
          </cell>
          <cell r="F509">
            <v>970</v>
          </cell>
          <cell r="G509">
            <v>675</v>
          </cell>
          <cell r="H509">
            <v>379</v>
          </cell>
          <cell r="I509">
            <v>1255</v>
          </cell>
          <cell r="J509">
            <v>1083</v>
          </cell>
          <cell r="K509">
            <v>868</v>
          </cell>
          <cell r="L509">
            <v>738</v>
          </cell>
          <cell r="M509">
            <v>608</v>
          </cell>
          <cell r="N509">
            <v>423</v>
          </cell>
          <cell r="O509">
            <v>237</v>
          </cell>
          <cell r="P509">
            <v>1473</v>
          </cell>
          <cell r="Q509">
            <v>1304</v>
          </cell>
          <cell r="R509">
            <v>1076</v>
          </cell>
          <cell r="S509">
            <v>932</v>
          </cell>
          <cell r="T509">
            <v>788</v>
          </cell>
          <cell r="U509">
            <v>559</v>
          </cell>
          <cell r="V509">
            <v>330</v>
          </cell>
          <cell r="W509">
            <v>941</v>
          </cell>
          <cell r="X509">
            <v>828</v>
          </cell>
          <cell r="Y509">
            <v>679</v>
          </cell>
          <cell r="Z509">
            <v>587</v>
          </cell>
          <cell r="AA509">
            <v>494</v>
          </cell>
          <cell r="AB509">
            <v>350</v>
          </cell>
          <cell r="AC509">
            <v>206</v>
          </cell>
        </row>
        <row r="510">
          <cell r="A510" t="str">
            <v>5-8-27</v>
          </cell>
          <cell r="B510">
            <v>1853</v>
          </cell>
          <cell r="C510">
            <v>1613</v>
          </cell>
          <cell r="D510">
            <v>1304</v>
          </cell>
          <cell r="E510">
            <v>1113</v>
          </cell>
          <cell r="F510">
            <v>921</v>
          </cell>
          <cell r="G510">
            <v>641</v>
          </cell>
          <cell r="H510">
            <v>360</v>
          </cell>
          <cell r="I510">
            <v>1207</v>
          </cell>
          <cell r="J510">
            <v>1043</v>
          </cell>
          <cell r="K510">
            <v>837</v>
          </cell>
          <cell r="L510">
            <v>712</v>
          </cell>
          <cell r="M510">
            <v>586</v>
          </cell>
          <cell r="N510">
            <v>407</v>
          </cell>
          <cell r="O510">
            <v>228</v>
          </cell>
          <cell r="P510">
            <v>1389</v>
          </cell>
          <cell r="Q510">
            <v>1234</v>
          </cell>
          <cell r="R510">
            <v>1021</v>
          </cell>
          <cell r="S510">
            <v>885</v>
          </cell>
          <cell r="T510">
            <v>748</v>
          </cell>
          <cell r="U510">
            <v>531</v>
          </cell>
          <cell r="V510">
            <v>314</v>
          </cell>
          <cell r="W510">
            <v>905</v>
          </cell>
          <cell r="X510">
            <v>798</v>
          </cell>
          <cell r="Y510">
            <v>655</v>
          </cell>
          <cell r="Z510">
            <v>566</v>
          </cell>
          <cell r="AA510">
            <v>476</v>
          </cell>
          <cell r="AB510">
            <v>338</v>
          </cell>
          <cell r="AC510">
            <v>199</v>
          </cell>
        </row>
        <row r="511">
          <cell r="A511" t="str">
            <v>5-9-27</v>
          </cell>
          <cell r="B511">
            <v>1737</v>
          </cell>
          <cell r="C511">
            <v>1518</v>
          </cell>
          <cell r="D511">
            <v>1233</v>
          </cell>
          <cell r="E511">
            <v>1053</v>
          </cell>
          <cell r="F511">
            <v>873</v>
          </cell>
          <cell r="G511">
            <v>607</v>
          </cell>
          <cell r="H511">
            <v>340</v>
          </cell>
          <cell r="I511">
            <v>1159</v>
          </cell>
          <cell r="J511">
            <v>1003</v>
          </cell>
          <cell r="K511">
            <v>807</v>
          </cell>
          <cell r="L511">
            <v>687</v>
          </cell>
          <cell r="M511">
            <v>566</v>
          </cell>
          <cell r="N511">
            <v>392</v>
          </cell>
          <cell r="O511">
            <v>218</v>
          </cell>
          <cell r="P511">
            <v>1302</v>
          </cell>
          <cell r="Q511">
            <v>1161</v>
          </cell>
          <cell r="R511">
            <v>965</v>
          </cell>
          <cell r="S511">
            <v>837</v>
          </cell>
          <cell r="T511">
            <v>709</v>
          </cell>
          <cell r="U511">
            <v>503</v>
          </cell>
          <cell r="V511">
            <v>296</v>
          </cell>
          <cell r="W511">
            <v>869</v>
          </cell>
          <cell r="X511">
            <v>767</v>
          </cell>
          <cell r="Y511">
            <v>632</v>
          </cell>
          <cell r="Z511">
            <v>546</v>
          </cell>
          <cell r="AA511">
            <v>459</v>
          </cell>
          <cell r="AB511">
            <v>325</v>
          </cell>
          <cell r="AC511">
            <v>190</v>
          </cell>
        </row>
        <row r="512">
          <cell r="A512" t="str">
            <v>5-10-27</v>
          </cell>
          <cell r="B512">
            <v>1618</v>
          </cell>
          <cell r="C512">
            <v>1420</v>
          </cell>
          <cell r="D512">
            <v>1158</v>
          </cell>
          <cell r="E512">
            <v>990</v>
          </cell>
          <cell r="F512">
            <v>821</v>
          </cell>
          <cell r="G512">
            <v>570</v>
          </cell>
          <cell r="H512">
            <v>319</v>
          </cell>
          <cell r="I512">
            <v>1112</v>
          </cell>
          <cell r="J512">
            <v>964</v>
          </cell>
          <cell r="K512">
            <v>777</v>
          </cell>
          <cell r="L512">
            <v>661</v>
          </cell>
          <cell r="M512">
            <v>544</v>
          </cell>
          <cell r="N512">
            <v>377</v>
          </cell>
          <cell r="O512">
            <v>209</v>
          </cell>
          <cell r="P512">
            <v>1213</v>
          </cell>
          <cell r="Q512">
            <v>1086</v>
          </cell>
          <cell r="R512">
            <v>906</v>
          </cell>
          <cell r="S512">
            <v>787</v>
          </cell>
          <cell r="T512">
            <v>667</v>
          </cell>
          <cell r="U512">
            <v>473</v>
          </cell>
          <cell r="V512">
            <v>278</v>
          </cell>
          <cell r="W512">
            <v>833</v>
          </cell>
          <cell r="X512">
            <v>737</v>
          </cell>
          <cell r="Y512">
            <v>608</v>
          </cell>
          <cell r="Z512">
            <v>525</v>
          </cell>
          <cell r="AA512">
            <v>442</v>
          </cell>
          <cell r="AB512">
            <v>312</v>
          </cell>
          <cell r="AC512">
            <v>182</v>
          </cell>
        </row>
        <row r="513">
          <cell r="A513" t="str">
            <v>5-11-27</v>
          </cell>
          <cell r="B513">
            <v>1496</v>
          </cell>
          <cell r="C513">
            <v>1317</v>
          </cell>
          <cell r="D513">
            <v>1077</v>
          </cell>
          <cell r="E513">
            <v>922</v>
          </cell>
          <cell r="F513">
            <v>766</v>
          </cell>
          <cell r="G513">
            <v>532</v>
          </cell>
          <cell r="H513">
            <v>297</v>
          </cell>
          <cell r="I513">
            <v>1064</v>
          </cell>
          <cell r="J513">
            <v>925</v>
          </cell>
          <cell r="K513">
            <v>746</v>
          </cell>
          <cell r="L513">
            <v>634</v>
          </cell>
          <cell r="M513">
            <v>522</v>
          </cell>
          <cell r="N513">
            <v>361</v>
          </cell>
          <cell r="O513">
            <v>199</v>
          </cell>
          <cell r="P513">
            <v>1121</v>
          </cell>
          <cell r="Q513">
            <v>1008</v>
          </cell>
          <cell r="R513">
            <v>843</v>
          </cell>
          <cell r="S513">
            <v>733</v>
          </cell>
          <cell r="T513">
            <v>622</v>
          </cell>
          <cell r="U513">
            <v>441</v>
          </cell>
          <cell r="V513">
            <v>259</v>
          </cell>
          <cell r="W513">
            <v>798</v>
          </cell>
          <cell r="X513">
            <v>708</v>
          </cell>
          <cell r="Y513">
            <v>584</v>
          </cell>
          <cell r="Z513">
            <v>504</v>
          </cell>
          <cell r="AA513">
            <v>423</v>
          </cell>
          <cell r="AB513">
            <v>298</v>
          </cell>
          <cell r="AC513">
            <v>173</v>
          </cell>
        </row>
        <row r="514">
          <cell r="A514" t="str">
            <v>5-12-27</v>
          </cell>
          <cell r="B514">
            <v>1364</v>
          </cell>
          <cell r="C514">
            <v>1207</v>
          </cell>
          <cell r="D514">
            <v>992</v>
          </cell>
          <cell r="E514">
            <v>849</v>
          </cell>
          <cell r="F514">
            <v>706</v>
          </cell>
          <cell r="G514">
            <v>489</v>
          </cell>
          <cell r="H514">
            <v>272</v>
          </cell>
          <cell r="I514">
            <v>1015</v>
          </cell>
          <cell r="J514">
            <v>884</v>
          </cell>
          <cell r="K514">
            <v>713</v>
          </cell>
          <cell r="L514">
            <v>606</v>
          </cell>
          <cell r="M514">
            <v>499</v>
          </cell>
          <cell r="N514">
            <v>344</v>
          </cell>
          <cell r="O514">
            <v>189</v>
          </cell>
          <cell r="P514">
            <v>1023</v>
          </cell>
          <cell r="Q514">
            <v>923</v>
          </cell>
          <cell r="R514">
            <v>776</v>
          </cell>
          <cell r="S514">
            <v>675</v>
          </cell>
          <cell r="T514">
            <v>573</v>
          </cell>
          <cell r="U514">
            <v>405</v>
          </cell>
          <cell r="V514">
            <v>237</v>
          </cell>
          <cell r="W514">
            <v>761</v>
          </cell>
          <cell r="X514">
            <v>676</v>
          </cell>
          <cell r="Y514">
            <v>558</v>
          </cell>
          <cell r="Z514">
            <v>482</v>
          </cell>
          <cell r="AA514">
            <v>405</v>
          </cell>
          <cell r="AB514">
            <v>285</v>
          </cell>
          <cell r="AC514">
            <v>165</v>
          </cell>
        </row>
        <row r="515">
          <cell r="A515" t="str">
            <v>5-13-27</v>
          </cell>
          <cell r="B515">
            <v>1223</v>
          </cell>
          <cell r="C515">
            <v>1087</v>
          </cell>
          <cell r="D515">
            <v>897</v>
          </cell>
          <cell r="E515">
            <v>769</v>
          </cell>
          <cell r="F515">
            <v>641</v>
          </cell>
          <cell r="G515">
            <v>444</v>
          </cell>
          <cell r="H515">
            <v>246</v>
          </cell>
          <cell r="I515">
            <v>964</v>
          </cell>
          <cell r="J515">
            <v>841</v>
          </cell>
          <cell r="K515">
            <v>680</v>
          </cell>
          <cell r="L515">
            <v>578</v>
          </cell>
          <cell r="M515">
            <v>475</v>
          </cell>
          <cell r="N515">
            <v>328</v>
          </cell>
          <cell r="O515">
            <v>180</v>
          </cell>
          <cell r="P515">
            <v>917</v>
          </cell>
          <cell r="Q515">
            <v>832</v>
          </cell>
          <cell r="R515">
            <v>702</v>
          </cell>
          <cell r="S515">
            <v>611</v>
          </cell>
          <cell r="T515">
            <v>520</v>
          </cell>
          <cell r="U515">
            <v>368</v>
          </cell>
          <cell r="V515">
            <v>215</v>
          </cell>
          <cell r="W515">
            <v>723</v>
          </cell>
          <cell r="X515">
            <v>644</v>
          </cell>
          <cell r="Y515">
            <v>532</v>
          </cell>
          <cell r="Z515">
            <v>459</v>
          </cell>
          <cell r="AA515">
            <v>386</v>
          </cell>
          <cell r="AB515">
            <v>272</v>
          </cell>
          <cell r="AC515">
            <v>158</v>
          </cell>
        </row>
        <row r="516">
          <cell r="A516" t="str">
            <v>6-8-27</v>
          </cell>
          <cell r="B516">
            <v>1851</v>
          </cell>
          <cell r="C516">
            <v>1609</v>
          </cell>
          <cell r="D516">
            <v>1300</v>
          </cell>
          <cell r="E516">
            <v>1109</v>
          </cell>
          <cell r="F516">
            <v>917</v>
          </cell>
          <cell r="G516">
            <v>637</v>
          </cell>
          <cell r="H516">
            <v>357</v>
          </cell>
          <cell r="I516">
            <v>1206</v>
          </cell>
          <cell r="J516">
            <v>1042</v>
          </cell>
          <cell r="K516">
            <v>835</v>
          </cell>
          <cell r="L516">
            <v>710</v>
          </cell>
          <cell r="M516">
            <v>585</v>
          </cell>
          <cell r="N516">
            <v>406</v>
          </cell>
          <cell r="O516">
            <v>226</v>
          </cell>
          <cell r="P516">
            <v>1387</v>
          </cell>
          <cell r="Q516">
            <v>1231</v>
          </cell>
          <cell r="R516">
            <v>1017</v>
          </cell>
          <cell r="S516">
            <v>881</v>
          </cell>
          <cell r="T516">
            <v>745</v>
          </cell>
          <cell r="U516">
            <v>528</v>
          </cell>
          <cell r="V516">
            <v>311</v>
          </cell>
          <cell r="W516">
            <v>904</v>
          </cell>
          <cell r="X516">
            <v>797</v>
          </cell>
          <cell r="Y516">
            <v>653</v>
          </cell>
          <cell r="Z516">
            <v>564</v>
          </cell>
          <cell r="AA516">
            <v>475</v>
          </cell>
          <cell r="AB516">
            <v>336</v>
          </cell>
          <cell r="AC516">
            <v>196</v>
          </cell>
        </row>
        <row r="517">
          <cell r="A517" t="str">
            <v>6-9-27</v>
          </cell>
          <cell r="B517">
            <v>1735</v>
          </cell>
          <cell r="C517">
            <v>1513</v>
          </cell>
          <cell r="D517">
            <v>1227</v>
          </cell>
          <cell r="E517">
            <v>1047</v>
          </cell>
          <cell r="F517">
            <v>866</v>
          </cell>
          <cell r="G517">
            <v>601</v>
          </cell>
          <cell r="H517">
            <v>335</v>
          </cell>
          <cell r="I517">
            <v>1158</v>
          </cell>
          <cell r="J517">
            <v>1001</v>
          </cell>
          <cell r="K517">
            <v>805</v>
          </cell>
          <cell r="L517">
            <v>684</v>
          </cell>
          <cell r="M517">
            <v>563</v>
          </cell>
          <cell r="N517">
            <v>390</v>
          </cell>
          <cell r="O517">
            <v>216</v>
          </cell>
          <cell r="P517">
            <v>1300</v>
          </cell>
          <cell r="Q517">
            <v>1158</v>
          </cell>
          <cell r="R517">
            <v>960</v>
          </cell>
          <cell r="S517">
            <v>832</v>
          </cell>
          <cell r="T517">
            <v>704</v>
          </cell>
          <cell r="U517">
            <v>498</v>
          </cell>
          <cell r="V517">
            <v>292</v>
          </cell>
          <cell r="W517">
            <v>868</v>
          </cell>
          <cell r="X517">
            <v>766</v>
          </cell>
          <cell r="Y517">
            <v>630</v>
          </cell>
          <cell r="Z517">
            <v>544</v>
          </cell>
          <cell r="AA517">
            <v>457</v>
          </cell>
          <cell r="AB517">
            <v>323</v>
          </cell>
          <cell r="AC517">
            <v>188</v>
          </cell>
        </row>
        <row r="518">
          <cell r="A518" t="str">
            <v>6-10-27</v>
          </cell>
          <cell r="B518">
            <v>1614</v>
          </cell>
          <cell r="C518">
            <v>1414</v>
          </cell>
          <cell r="D518">
            <v>1151</v>
          </cell>
          <cell r="E518">
            <v>983</v>
          </cell>
          <cell r="F518">
            <v>815</v>
          </cell>
          <cell r="G518">
            <v>565</v>
          </cell>
          <cell r="H518">
            <v>315</v>
          </cell>
          <cell r="I518">
            <v>1110</v>
          </cell>
          <cell r="J518">
            <v>962</v>
          </cell>
          <cell r="K518">
            <v>774</v>
          </cell>
          <cell r="L518">
            <v>658</v>
          </cell>
          <cell r="M518">
            <v>542</v>
          </cell>
          <cell r="N518">
            <v>375</v>
          </cell>
          <cell r="O518">
            <v>207</v>
          </cell>
          <cell r="P518">
            <v>1210</v>
          </cell>
          <cell r="Q518">
            <v>1082</v>
          </cell>
          <cell r="R518">
            <v>901</v>
          </cell>
          <cell r="S518">
            <v>782</v>
          </cell>
          <cell r="T518">
            <v>662</v>
          </cell>
          <cell r="U518">
            <v>469</v>
          </cell>
          <cell r="V518">
            <v>275</v>
          </cell>
          <cell r="W518">
            <v>832</v>
          </cell>
          <cell r="X518">
            <v>736</v>
          </cell>
          <cell r="Y518">
            <v>606</v>
          </cell>
          <cell r="Z518">
            <v>523</v>
          </cell>
          <cell r="AA518">
            <v>440</v>
          </cell>
          <cell r="AB518">
            <v>311</v>
          </cell>
          <cell r="AC518">
            <v>181</v>
          </cell>
        </row>
        <row r="519">
          <cell r="A519" t="str">
            <v>6-11-27</v>
          </cell>
          <cell r="B519">
            <v>1490</v>
          </cell>
          <cell r="C519">
            <v>1312</v>
          </cell>
          <cell r="D519">
            <v>1072</v>
          </cell>
          <cell r="E519">
            <v>917</v>
          </cell>
          <cell r="F519">
            <v>761</v>
          </cell>
          <cell r="G519">
            <v>528</v>
          </cell>
          <cell r="H519">
            <v>294</v>
          </cell>
          <cell r="I519">
            <v>1062</v>
          </cell>
          <cell r="J519">
            <v>922</v>
          </cell>
          <cell r="K519">
            <v>743</v>
          </cell>
          <cell r="L519">
            <v>632</v>
          </cell>
          <cell r="M519">
            <v>520</v>
          </cell>
          <cell r="N519">
            <v>359</v>
          </cell>
          <cell r="O519">
            <v>198</v>
          </cell>
          <cell r="P519">
            <v>1117</v>
          </cell>
          <cell r="Q519">
            <v>1004</v>
          </cell>
          <cell r="R519">
            <v>839</v>
          </cell>
          <cell r="S519">
            <v>729</v>
          </cell>
          <cell r="T519">
            <v>618</v>
          </cell>
          <cell r="U519">
            <v>437</v>
          </cell>
          <cell r="V519">
            <v>256</v>
          </cell>
          <cell r="W519">
            <v>796</v>
          </cell>
          <cell r="X519">
            <v>706</v>
          </cell>
          <cell r="Y519">
            <v>582</v>
          </cell>
          <cell r="Z519">
            <v>503</v>
          </cell>
          <cell r="AA519">
            <v>423</v>
          </cell>
          <cell r="AB519">
            <v>298</v>
          </cell>
          <cell r="AC519">
            <v>173</v>
          </cell>
        </row>
        <row r="520">
          <cell r="A520" t="str">
            <v>6-12-27</v>
          </cell>
          <cell r="B520">
            <v>1361</v>
          </cell>
          <cell r="C520">
            <v>1202</v>
          </cell>
          <cell r="D520">
            <v>988</v>
          </cell>
          <cell r="E520">
            <v>846</v>
          </cell>
          <cell r="F520">
            <v>703</v>
          </cell>
          <cell r="G520">
            <v>487</v>
          </cell>
          <cell r="H520">
            <v>270</v>
          </cell>
          <cell r="I520">
            <v>1014</v>
          </cell>
          <cell r="J520">
            <v>882</v>
          </cell>
          <cell r="K520">
            <v>712</v>
          </cell>
          <cell r="L520">
            <v>606</v>
          </cell>
          <cell r="M520">
            <v>499</v>
          </cell>
          <cell r="N520">
            <v>344</v>
          </cell>
          <cell r="O520">
            <v>188</v>
          </cell>
          <cell r="P520">
            <v>1020</v>
          </cell>
          <cell r="Q520">
            <v>920</v>
          </cell>
          <cell r="R520">
            <v>774</v>
          </cell>
          <cell r="S520">
            <v>673</v>
          </cell>
          <cell r="T520">
            <v>571</v>
          </cell>
          <cell r="U520">
            <v>404</v>
          </cell>
          <cell r="V520">
            <v>236</v>
          </cell>
          <cell r="W520">
            <v>760</v>
          </cell>
          <cell r="X520">
            <v>675</v>
          </cell>
          <cell r="Y520">
            <v>558</v>
          </cell>
          <cell r="Z520">
            <v>482</v>
          </cell>
          <cell r="AA520">
            <v>405</v>
          </cell>
          <cell r="AB520">
            <v>285</v>
          </cell>
          <cell r="AC520">
            <v>164</v>
          </cell>
        </row>
        <row r="521">
          <cell r="A521" t="str">
            <v>6-13-27</v>
          </cell>
          <cell r="B521">
            <v>1220</v>
          </cell>
          <cell r="C521">
            <v>1084</v>
          </cell>
          <cell r="D521">
            <v>893</v>
          </cell>
          <cell r="E521">
            <v>766</v>
          </cell>
          <cell r="F521">
            <v>638</v>
          </cell>
          <cell r="G521">
            <v>442</v>
          </cell>
          <cell r="H521">
            <v>245</v>
          </cell>
          <cell r="I521">
            <v>963</v>
          </cell>
          <cell r="J521">
            <v>839</v>
          </cell>
          <cell r="K521">
            <v>679</v>
          </cell>
          <cell r="L521">
            <v>577</v>
          </cell>
          <cell r="M521">
            <v>474</v>
          </cell>
          <cell r="N521">
            <v>326</v>
          </cell>
          <cell r="O521">
            <v>178</v>
          </cell>
          <cell r="P521">
            <v>914</v>
          </cell>
          <cell r="Q521">
            <v>829</v>
          </cell>
          <cell r="R521">
            <v>699</v>
          </cell>
          <cell r="S521">
            <v>609</v>
          </cell>
          <cell r="T521">
            <v>518</v>
          </cell>
          <cell r="U521">
            <v>366</v>
          </cell>
          <cell r="V521">
            <v>213</v>
          </cell>
          <cell r="W521">
            <v>722</v>
          </cell>
          <cell r="X521">
            <v>642</v>
          </cell>
          <cell r="Y521">
            <v>531</v>
          </cell>
          <cell r="Z521">
            <v>458</v>
          </cell>
          <cell r="AA521">
            <v>385</v>
          </cell>
          <cell r="AB521">
            <v>270</v>
          </cell>
          <cell r="AC521">
            <v>155</v>
          </cell>
        </row>
        <row r="522">
          <cell r="A522" t="str">
            <v>6-14-27</v>
          </cell>
          <cell r="B522">
            <v>1080</v>
          </cell>
          <cell r="C522">
            <v>956</v>
          </cell>
          <cell r="D522">
            <v>792</v>
          </cell>
          <cell r="E522">
            <v>680</v>
          </cell>
          <cell r="F522">
            <v>567</v>
          </cell>
          <cell r="G522">
            <v>392</v>
          </cell>
          <cell r="H522">
            <v>216</v>
          </cell>
          <cell r="I522">
            <v>918</v>
          </cell>
          <cell r="J522">
            <v>796</v>
          </cell>
          <cell r="K522">
            <v>645</v>
          </cell>
          <cell r="L522">
            <v>548</v>
          </cell>
          <cell r="M522">
            <v>450</v>
          </cell>
          <cell r="N522">
            <v>310</v>
          </cell>
          <cell r="O522">
            <v>169</v>
          </cell>
          <cell r="P522">
            <v>810</v>
          </cell>
          <cell r="Q522">
            <v>731</v>
          </cell>
          <cell r="R522">
            <v>620</v>
          </cell>
          <cell r="S522">
            <v>540</v>
          </cell>
          <cell r="T522">
            <v>460</v>
          </cell>
          <cell r="U522">
            <v>324</v>
          </cell>
          <cell r="V522">
            <v>188</v>
          </cell>
          <cell r="W522">
            <v>688</v>
          </cell>
          <cell r="X522">
            <v>609</v>
          </cell>
          <cell r="Y522">
            <v>505</v>
          </cell>
          <cell r="Z522">
            <v>435</v>
          </cell>
          <cell r="AA522">
            <v>365</v>
          </cell>
          <cell r="AB522">
            <v>256</v>
          </cell>
          <cell r="AC522">
            <v>147</v>
          </cell>
        </row>
        <row r="523">
          <cell r="A523" t="str">
            <v>7-9-27</v>
          </cell>
          <cell r="B523">
            <v>1732</v>
          </cell>
          <cell r="C523">
            <v>1509</v>
          </cell>
          <cell r="D523">
            <v>1220</v>
          </cell>
          <cell r="E523">
            <v>1040</v>
          </cell>
          <cell r="F523">
            <v>860</v>
          </cell>
          <cell r="G523">
            <v>596</v>
          </cell>
          <cell r="H523">
            <v>332</v>
          </cell>
          <cell r="I523">
            <v>1156</v>
          </cell>
          <cell r="J523">
            <v>1000</v>
          </cell>
          <cell r="K523">
            <v>802</v>
          </cell>
          <cell r="L523">
            <v>681</v>
          </cell>
          <cell r="M523">
            <v>560</v>
          </cell>
          <cell r="N523">
            <v>388</v>
          </cell>
          <cell r="O523">
            <v>215</v>
          </cell>
          <cell r="P523">
            <v>1298</v>
          </cell>
          <cell r="Q523">
            <v>1155</v>
          </cell>
          <cell r="R523">
            <v>955</v>
          </cell>
          <cell r="S523">
            <v>827</v>
          </cell>
          <cell r="T523">
            <v>699</v>
          </cell>
          <cell r="U523">
            <v>494</v>
          </cell>
          <cell r="V523">
            <v>289</v>
          </cell>
          <cell r="W523">
            <v>867</v>
          </cell>
          <cell r="X523">
            <v>765</v>
          </cell>
          <cell r="Y523">
            <v>627</v>
          </cell>
          <cell r="Z523">
            <v>541</v>
          </cell>
          <cell r="AA523">
            <v>455</v>
          </cell>
          <cell r="AB523">
            <v>321</v>
          </cell>
          <cell r="AC523">
            <v>187</v>
          </cell>
        </row>
        <row r="524">
          <cell r="A524" t="str">
            <v>7-10-27</v>
          </cell>
          <cell r="B524">
            <v>1610</v>
          </cell>
          <cell r="C524">
            <v>1408</v>
          </cell>
          <cell r="D524">
            <v>1145</v>
          </cell>
          <cell r="E524">
            <v>977</v>
          </cell>
          <cell r="F524">
            <v>809</v>
          </cell>
          <cell r="G524">
            <v>560</v>
          </cell>
          <cell r="H524">
            <v>311</v>
          </cell>
          <cell r="I524">
            <v>1109</v>
          </cell>
          <cell r="J524">
            <v>959</v>
          </cell>
          <cell r="K524">
            <v>771</v>
          </cell>
          <cell r="L524">
            <v>655</v>
          </cell>
          <cell r="M524">
            <v>539</v>
          </cell>
          <cell r="N524">
            <v>372</v>
          </cell>
          <cell r="O524">
            <v>205</v>
          </cell>
          <cell r="P524">
            <v>1207</v>
          </cell>
          <cell r="Q524">
            <v>1078</v>
          </cell>
          <cell r="R524">
            <v>897</v>
          </cell>
          <cell r="S524">
            <v>777</v>
          </cell>
          <cell r="T524">
            <v>657</v>
          </cell>
          <cell r="U524">
            <v>464</v>
          </cell>
          <cell r="V524">
            <v>271</v>
          </cell>
          <cell r="W524">
            <v>831</v>
          </cell>
          <cell r="X524">
            <v>734</v>
          </cell>
          <cell r="Y524">
            <v>604</v>
          </cell>
          <cell r="Z524">
            <v>521</v>
          </cell>
          <cell r="AA524">
            <v>438</v>
          </cell>
          <cell r="AB524">
            <v>309</v>
          </cell>
          <cell r="AC524">
            <v>179</v>
          </cell>
        </row>
        <row r="525">
          <cell r="A525" t="str">
            <v>7-11-27</v>
          </cell>
          <cell r="B525">
            <v>1484</v>
          </cell>
          <cell r="C525">
            <v>1305</v>
          </cell>
          <cell r="D525">
            <v>1065</v>
          </cell>
          <cell r="E525">
            <v>910</v>
          </cell>
          <cell r="F525">
            <v>755</v>
          </cell>
          <cell r="G525">
            <v>523</v>
          </cell>
          <cell r="H525">
            <v>290</v>
          </cell>
          <cell r="I525">
            <v>1060</v>
          </cell>
          <cell r="J525">
            <v>920</v>
          </cell>
          <cell r="K525">
            <v>741</v>
          </cell>
          <cell r="L525">
            <v>630</v>
          </cell>
          <cell r="M525">
            <v>518</v>
          </cell>
          <cell r="N525">
            <v>357</v>
          </cell>
          <cell r="O525">
            <v>196</v>
          </cell>
          <cell r="P525">
            <v>1113</v>
          </cell>
          <cell r="Q525">
            <v>998</v>
          </cell>
          <cell r="R525">
            <v>834</v>
          </cell>
          <cell r="S525">
            <v>724</v>
          </cell>
          <cell r="T525">
            <v>613</v>
          </cell>
          <cell r="U525">
            <v>433</v>
          </cell>
          <cell r="V525">
            <v>253</v>
          </cell>
          <cell r="W525">
            <v>795</v>
          </cell>
          <cell r="X525">
            <v>703</v>
          </cell>
          <cell r="Y525">
            <v>580</v>
          </cell>
          <cell r="Z525">
            <v>501</v>
          </cell>
          <cell r="AA525">
            <v>421</v>
          </cell>
          <cell r="AB525">
            <v>296</v>
          </cell>
          <cell r="AC525">
            <v>171</v>
          </cell>
        </row>
        <row r="526">
          <cell r="A526" t="str">
            <v>7-12-27</v>
          </cell>
          <cell r="B526">
            <v>1355</v>
          </cell>
          <cell r="C526">
            <v>1196</v>
          </cell>
          <cell r="D526">
            <v>981</v>
          </cell>
          <cell r="E526">
            <v>839</v>
          </cell>
          <cell r="F526">
            <v>697</v>
          </cell>
          <cell r="G526">
            <v>483</v>
          </cell>
          <cell r="H526">
            <v>268</v>
          </cell>
          <cell r="I526">
            <v>1013</v>
          </cell>
          <cell r="J526">
            <v>880</v>
          </cell>
          <cell r="K526">
            <v>710</v>
          </cell>
          <cell r="L526">
            <v>603</v>
          </cell>
          <cell r="M526">
            <v>496</v>
          </cell>
          <cell r="N526">
            <v>342</v>
          </cell>
          <cell r="O526">
            <v>187</v>
          </cell>
          <cell r="P526">
            <v>1016</v>
          </cell>
          <cell r="Q526">
            <v>915</v>
          </cell>
          <cell r="R526">
            <v>768</v>
          </cell>
          <cell r="S526">
            <v>667</v>
          </cell>
          <cell r="T526">
            <v>566</v>
          </cell>
          <cell r="U526">
            <v>400</v>
          </cell>
          <cell r="V526">
            <v>233</v>
          </cell>
          <cell r="W526">
            <v>759</v>
          </cell>
          <cell r="X526">
            <v>673</v>
          </cell>
          <cell r="Y526">
            <v>556</v>
          </cell>
          <cell r="Z526">
            <v>480</v>
          </cell>
          <cell r="AA526">
            <v>403</v>
          </cell>
          <cell r="AB526">
            <v>283</v>
          </cell>
          <cell r="AC526">
            <v>163</v>
          </cell>
        </row>
        <row r="527">
          <cell r="A527" t="str">
            <v>7-13-27</v>
          </cell>
          <cell r="B527">
            <v>1217</v>
          </cell>
          <cell r="C527">
            <v>1081</v>
          </cell>
          <cell r="D527">
            <v>890</v>
          </cell>
          <cell r="E527">
            <v>762</v>
          </cell>
          <cell r="F527">
            <v>634</v>
          </cell>
          <cell r="G527">
            <v>439</v>
          </cell>
          <cell r="H527">
            <v>243</v>
          </cell>
          <cell r="I527">
            <v>963</v>
          </cell>
          <cell r="J527">
            <v>839</v>
          </cell>
          <cell r="K527">
            <v>677</v>
          </cell>
          <cell r="L527">
            <v>576</v>
          </cell>
          <cell r="M527">
            <v>474</v>
          </cell>
          <cell r="N527">
            <v>326</v>
          </cell>
          <cell r="O527">
            <v>177</v>
          </cell>
          <cell r="P527">
            <v>912</v>
          </cell>
          <cell r="Q527">
            <v>827</v>
          </cell>
          <cell r="R527">
            <v>696</v>
          </cell>
          <cell r="S527">
            <v>606</v>
          </cell>
          <cell r="T527">
            <v>515</v>
          </cell>
          <cell r="U527">
            <v>364</v>
          </cell>
          <cell r="V527">
            <v>212</v>
          </cell>
          <cell r="W527">
            <v>721</v>
          </cell>
          <cell r="X527">
            <v>642</v>
          </cell>
          <cell r="Y527">
            <v>529</v>
          </cell>
          <cell r="Z527">
            <v>457</v>
          </cell>
          <cell r="AA527">
            <v>385</v>
          </cell>
          <cell r="AB527">
            <v>270</v>
          </cell>
          <cell r="AC527">
            <v>155</v>
          </cell>
        </row>
        <row r="528">
          <cell r="A528" t="str">
            <v>7-14-27</v>
          </cell>
          <cell r="B528">
            <v>1077</v>
          </cell>
          <cell r="C528">
            <v>952</v>
          </cell>
          <cell r="D528">
            <v>789</v>
          </cell>
          <cell r="E528">
            <v>677</v>
          </cell>
          <cell r="F528">
            <v>564</v>
          </cell>
          <cell r="G528">
            <v>390</v>
          </cell>
          <cell r="H528">
            <v>216</v>
          </cell>
          <cell r="I528">
            <v>917</v>
          </cell>
          <cell r="J528">
            <v>794</v>
          </cell>
          <cell r="K528">
            <v>644</v>
          </cell>
          <cell r="L528">
            <v>547</v>
          </cell>
          <cell r="M528">
            <v>450</v>
          </cell>
          <cell r="N528">
            <v>309</v>
          </cell>
          <cell r="O528">
            <v>168</v>
          </cell>
          <cell r="P528">
            <v>807</v>
          </cell>
          <cell r="Q528">
            <v>729</v>
          </cell>
          <cell r="R528">
            <v>617</v>
          </cell>
          <cell r="S528">
            <v>538</v>
          </cell>
          <cell r="T528">
            <v>458</v>
          </cell>
          <cell r="U528">
            <v>323</v>
          </cell>
          <cell r="V528">
            <v>188</v>
          </cell>
          <cell r="W528">
            <v>687</v>
          </cell>
          <cell r="X528">
            <v>608</v>
          </cell>
          <cell r="Y528">
            <v>504</v>
          </cell>
          <cell r="Z528">
            <v>435</v>
          </cell>
          <cell r="AA528">
            <v>365</v>
          </cell>
          <cell r="AB528">
            <v>256</v>
          </cell>
          <cell r="AC528">
            <v>147</v>
          </cell>
        </row>
        <row r="529">
          <cell r="A529" t="str">
            <v>7-15-27</v>
          </cell>
          <cell r="B529">
            <v>916</v>
          </cell>
          <cell r="C529">
            <v>815</v>
          </cell>
          <cell r="D529">
            <v>679</v>
          </cell>
          <cell r="E529">
            <v>584</v>
          </cell>
          <cell r="F529">
            <v>488</v>
          </cell>
          <cell r="G529">
            <v>336</v>
          </cell>
          <cell r="H529">
            <v>184</v>
          </cell>
          <cell r="I529">
            <v>864</v>
          </cell>
          <cell r="J529">
            <v>749</v>
          </cell>
          <cell r="K529">
            <v>608</v>
          </cell>
          <cell r="L529">
            <v>517</v>
          </cell>
          <cell r="M529">
            <v>425</v>
          </cell>
          <cell r="N529">
            <v>291</v>
          </cell>
          <cell r="O529">
            <v>157</v>
          </cell>
          <cell r="P529">
            <v>687</v>
          </cell>
          <cell r="Q529">
            <v>623</v>
          </cell>
          <cell r="R529">
            <v>532</v>
          </cell>
          <cell r="S529">
            <v>464</v>
          </cell>
          <cell r="T529">
            <v>396</v>
          </cell>
          <cell r="U529">
            <v>278</v>
          </cell>
          <cell r="V529">
            <v>160</v>
          </cell>
          <cell r="W529">
            <v>648</v>
          </cell>
          <cell r="X529">
            <v>572</v>
          </cell>
          <cell r="Y529">
            <v>477</v>
          </cell>
          <cell r="Z529">
            <v>411</v>
          </cell>
          <cell r="AA529">
            <v>345</v>
          </cell>
          <cell r="AB529">
            <v>241</v>
          </cell>
          <cell r="AC529">
            <v>137</v>
          </cell>
        </row>
        <row r="530">
          <cell r="A530" t="str">
            <v>8-10-27</v>
          </cell>
          <cell r="B530">
            <v>1606</v>
          </cell>
          <cell r="C530">
            <v>1403</v>
          </cell>
          <cell r="D530">
            <v>1138</v>
          </cell>
          <cell r="E530">
            <v>970</v>
          </cell>
          <cell r="F530">
            <v>802</v>
          </cell>
          <cell r="G530">
            <v>555</v>
          </cell>
          <cell r="H530">
            <v>308</v>
          </cell>
          <cell r="I530">
            <v>1107</v>
          </cell>
          <cell r="J530">
            <v>959</v>
          </cell>
          <cell r="K530">
            <v>769</v>
          </cell>
          <cell r="L530">
            <v>653</v>
          </cell>
          <cell r="M530">
            <v>536</v>
          </cell>
          <cell r="N530">
            <v>370</v>
          </cell>
          <cell r="O530">
            <v>204</v>
          </cell>
          <cell r="P530">
            <v>1204</v>
          </cell>
          <cell r="Q530">
            <v>1073</v>
          </cell>
          <cell r="R530">
            <v>891</v>
          </cell>
          <cell r="S530">
            <v>772</v>
          </cell>
          <cell r="T530">
            <v>652</v>
          </cell>
          <cell r="U530">
            <v>460</v>
          </cell>
          <cell r="V530">
            <v>268</v>
          </cell>
          <cell r="W530">
            <v>830</v>
          </cell>
          <cell r="X530">
            <v>733</v>
          </cell>
          <cell r="Y530">
            <v>602</v>
          </cell>
          <cell r="Z530">
            <v>519</v>
          </cell>
          <cell r="AA530">
            <v>436</v>
          </cell>
          <cell r="AB530">
            <v>307</v>
          </cell>
          <cell r="AC530">
            <v>177</v>
          </cell>
        </row>
        <row r="531">
          <cell r="A531" t="str">
            <v>8-11-27</v>
          </cell>
          <cell r="B531">
            <v>1479</v>
          </cell>
          <cell r="C531">
            <v>1298</v>
          </cell>
          <cell r="D531">
            <v>1057</v>
          </cell>
          <cell r="E531">
            <v>903</v>
          </cell>
          <cell r="F531">
            <v>748</v>
          </cell>
          <cell r="G531">
            <v>518</v>
          </cell>
          <cell r="H531">
            <v>287</v>
          </cell>
          <cell r="I531">
            <v>1058</v>
          </cell>
          <cell r="J531">
            <v>917</v>
          </cell>
          <cell r="K531">
            <v>737</v>
          </cell>
          <cell r="L531">
            <v>626</v>
          </cell>
          <cell r="M531">
            <v>515</v>
          </cell>
          <cell r="N531">
            <v>355</v>
          </cell>
          <cell r="O531">
            <v>195</v>
          </cell>
          <cell r="P531">
            <v>1109</v>
          </cell>
          <cell r="Q531">
            <v>993</v>
          </cell>
          <cell r="R531">
            <v>828</v>
          </cell>
          <cell r="S531">
            <v>718</v>
          </cell>
          <cell r="T531">
            <v>608</v>
          </cell>
          <cell r="U531">
            <v>429</v>
          </cell>
          <cell r="V531">
            <v>250</v>
          </cell>
          <cell r="W531">
            <v>793</v>
          </cell>
          <cell r="X531">
            <v>702</v>
          </cell>
          <cell r="Y531">
            <v>577</v>
          </cell>
          <cell r="Z531">
            <v>498</v>
          </cell>
          <cell r="AA531">
            <v>419</v>
          </cell>
          <cell r="AB531">
            <v>295</v>
          </cell>
          <cell r="AC531">
            <v>170</v>
          </cell>
        </row>
        <row r="532">
          <cell r="A532" t="str">
            <v>8-12-27</v>
          </cell>
          <cell r="B532">
            <v>1348</v>
          </cell>
          <cell r="C532">
            <v>1188</v>
          </cell>
          <cell r="D532">
            <v>974</v>
          </cell>
          <cell r="E532">
            <v>833</v>
          </cell>
          <cell r="F532">
            <v>691</v>
          </cell>
          <cell r="G532">
            <v>478</v>
          </cell>
          <cell r="H532">
            <v>265</v>
          </cell>
          <cell r="I532">
            <v>1010</v>
          </cell>
          <cell r="J532">
            <v>876</v>
          </cell>
          <cell r="K532">
            <v>707</v>
          </cell>
          <cell r="L532">
            <v>601</v>
          </cell>
          <cell r="M532">
            <v>494</v>
          </cell>
          <cell r="N532">
            <v>341</v>
          </cell>
          <cell r="O532">
            <v>187</v>
          </cell>
          <cell r="P532">
            <v>1011</v>
          </cell>
          <cell r="Q532">
            <v>909</v>
          </cell>
          <cell r="R532">
            <v>762</v>
          </cell>
          <cell r="S532">
            <v>662</v>
          </cell>
          <cell r="T532">
            <v>561</v>
          </cell>
          <cell r="U532">
            <v>396</v>
          </cell>
          <cell r="V532">
            <v>230</v>
          </cell>
          <cell r="W532">
            <v>757</v>
          </cell>
          <cell r="X532">
            <v>670</v>
          </cell>
          <cell r="Y532">
            <v>553</v>
          </cell>
          <cell r="Z532">
            <v>477</v>
          </cell>
          <cell r="AA532">
            <v>401</v>
          </cell>
          <cell r="AB532">
            <v>282</v>
          </cell>
          <cell r="AC532">
            <v>162</v>
          </cell>
        </row>
        <row r="533">
          <cell r="A533" t="str">
            <v>8-13-27</v>
          </cell>
          <cell r="B533">
            <v>1212</v>
          </cell>
          <cell r="C533">
            <v>1075</v>
          </cell>
          <cell r="D533">
            <v>885</v>
          </cell>
          <cell r="E533">
            <v>758</v>
          </cell>
          <cell r="F533">
            <v>631</v>
          </cell>
          <cell r="G533">
            <v>436</v>
          </cell>
          <cell r="H533">
            <v>241</v>
          </cell>
          <cell r="I533">
            <v>961</v>
          </cell>
          <cell r="J533">
            <v>837</v>
          </cell>
          <cell r="K533">
            <v>676</v>
          </cell>
          <cell r="L533">
            <v>574</v>
          </cell>
          <cell r="M533">
            <v>472</v>
          </cell>
          <cell r="N533">
            <v>325</v>
          </cell>
          <cell r="O533">
            <v>177</v>
          </cell>
          <cell r="P533">
            <v>908</v>
          </cell>
          <cell r="Q533">
            <v>822</v>
          </cell>
          <cell r="R533">
            <v>693</v>
          </cell>
          <cell r="S533">
            <v>603</v>
          </cell>
          <cell r="T533">
            <v>512</v>
          </cell>
          <cell r="U533">
            <v>361</v>
          </cell>
          <cell r="V533">
            <v>210</v>
          </cell>
          <cell r="W533">
            <v>720</v>
          </cell>
          <cell r="X533">
            <v>640</v>
          </cell>
          <cell r="Y533">
            <v>529</v>
          </cell>
          <cell r="Z533">
            <v>456</v>
          </cell>
          <cell r="AA533">
            <v>383</v>
          </cell>
          <cell r="AB533">
            <v>269</v>
          </cell>
          <cell r="AC533">
            <v>154</v>
          </cell>
        </row>
        <row r="534">
          <cell r="A534" t="str">
            <v>8-14-27</v>
          </cell>
          <cell r="B534">
            <v>1073</v>
          </cell>
          <cell r="C534">
            <v>948</v>
          </cell>
          <cell r="D534">
            <v>785</v>
          </cell>
          <cell r="E534">
            <v>674</v>
          </cell>
          <cell r="F534">
            <v>562</v>
          </cell>
          <cell r="G534">
            <v>389</v>
          </cell>
          <cell r="H534">
            <v>216</v>
          </cell>
          <cell r="I534">
            <v>917</v>
          </cell>
          <cell r="J534">
            <v>793</v>
          </cell>
          <cell r="K534">
            <v>641</v>
          </cell>
          <cell r="L534">
            <v>545</v>
          </cell>
          <cell r="M534">
            <v>449</v>
          </cell>
          <cell r="N534">
            <v>309</v>
          </cell>
          <cell r="O534">
            <v>169</v>
          </cell>
          <cell r="P534">
            <v>804</v>
          </cell>
          <cell r="Q534">
            <v>725</v>
          </cell>
          <cell r="R534">
            <v>614</v>
          </cell>
          <cell r="S534">
            <v>535</v>
          </cell>
          <cell r="T534">
            <v>456</v>
          </cell>
          <cell r="U534">
            <v>322</v>
          </cell>
          <cell r="V534">
            <v>188</v>
          </cell>
          <cell r="W534">
            <v>687</v>
          </cell>
          <cell r="X534">
            <v>606</v>
          </cell>
          <cell r="Y534">
            <v>502</v>
          </cell>
          <cell r="Z534">
            <v>433</v>
          </cell>
          <cell r="AA534">
            <v>364</v>
          </cell>
          <cell r="AB534">
            <v>256</v>
          </cell>
          <cell r="AC534">
            <v>147</v>
          </cell>
        </row>
        <row r="535">
          <cell r="A535" t="str">
            <v>8-15-27</v>
          </cell>
          <cell r="B535">
            <v>912</v>
          </cell>
          <cell r="C535">
            <v>811</v>
          </cell>
          <cell r="D535">
            <v>675</v>
          </cell>
          <cell r="E535">
            <v>580</v>
          </cell>
          <cell r="F535">
            <v>485</v>
          </cell>
          <cell r="G535">
            <v>334</v>
          </cell>
          <cell r="H535">
            <v>183</v>
          </cell>
          <cell r="I535">
            <v>863</v>
          </cell>
          <cell r="J535">
            <v>748</v>
          </cell>
          <cell r="K535">
            <v>607</v>
          </cell>
          <cell r="L535">
            <v>516</v>
          </cell>
          <cell r="M535">
            <v>424</v>
          </cell>
          <cell r="N535">
            <v>291</v>
          </cell>
          <cell r="O535">
            <v>157</v>
          </cell>
          <cell r="P535">
            <v>684</v>
          </cell>
          <cell r="Q535">
            <v>621</v>
          </cell>
          <cell r="R535">
            <v>529</v>
          </cell>
          <cell r="S535">
            <v>462</v>
          </cell>
          <cell r="T535">
            <v>394</v>
          </cell>
          <cell r="U535">
            <v>277</v>
          </cell>
          <cell r="V535">
            <v>160</v>
          </cell>
          <cell r="W535">
            <v>647</v>
          </cell>
          <cell r="X535">
            <v>573</v>
          </cell>
          <cell r="Y535">
            <v>476</v>
          </cell>
          <cell r="Z535">
            <v>410</v>
          </cell>
          <cell r="AA535">
            <v>344</v>
          </cell>
          <cell r="AB535">
            <v>241</v>
          </cell>
          <cell r="AC535">
            <v>137</v>
          </cell>
        </row>
        <row r="536">
          <cell r="A536" t="str">
            <v>8-16-27</v>
          </cell>
          <cell r="B536">
            <v>841</v>
          </cell>
          <cell r="C536">
            <v>740</v>
          </cell>
          <cell r="D536">
            <v>601</v>
          </cell>
          <cell r="E536">
            <v>511</v>
          </cell>
          <cell r="F536">
            <v>421</v>
          </cell>
          <cell r="G536">
            <v>289</v>
          </cell>
          <cell r="H536">
            <v>157</v>
          </cell>
          <cell r="I536">
            <v>841</v>
          </cell>
          <cell r="J536">
            <v>740</v>
          </cell>
          <cell r="K536">
            <v>601</v>
          </cell>
          <cell r="L536">
            <v>511</v>
          </cell>
          <cell r="M536">
            <v>421</v>
          </cell>
          <cell r="N536">
            <v>289</v>
          </cell>
          <cell r="O536">
            <v>157</v>
          </cell>
          <cell r="P536">
            <v>631</v>
          </cell>
          <cell r="Q536">
            <v>566</v>
          </cell>
          <cell r="R536">
            <v>471</v>
          </cell>
          <cell r="S536">
            <v>407</v>
          </cell>
          <cell r="T536">
            <v>342</v>
          </cell>
          <cell r="U536">
            <v>240</v>
          </cell>
          <cell r="V536">
            <v>137</v>
          </cell>
          <cell r="W536">
            <v>631</v>
          </cell>
          <cell r="X536">
            <v>566</v>
          </cell>
          <cell r="Y536">
            <v>471</v>
          </cell>
          <cell r="Z536">
            <v>407</v>
          </cell>
          <cell r="AA536">
            <v>342</v>
          </cell>
          <cell r="AB536">
            <v>240</v>
          </cell>
          <cell r="AC536">
            <v>137</v>
          </cell>
        </row>
        <row r="537">
          <cell r="A537" t="str">
            <v>9-11-27</v>
          </cell>
          <cell r="B537">
            <v>1474</v>
          </cell>
          <cell r="C537">
            <v>1291</v>
          </cell>
          <cell r="D537">
            <v>1050</v>
          </cell>
          <cell r="E537">
            <v>896</v>
          </cell>
          <cell r="F537">
            <v>741</v>
          </cell>
          <cell r="G537">
            <v>512</v>
          </cell>
          <cell r="H537">
            <v>283</v>
          </cell>
          <cell r="I537">
            <v>1056</v>
          </cell>
          <cell r="J537">
            <v>915</v>
          </cell>
          <cell r="K537">
            <v>735</v>
          </cell>
          <cell r="L537">
            <v>624</v>
          </cell>
          <cell r="M537">
            <v>513</v>
          </cell>
          <cell r="N537">
            <v>353</v>
          </cell>
          <cell r="O537">
            <v>193</v>
          </cell>
          <cell r="P537">
            <v>1105</v>
          </cell>
          <cell r="Q537">
            <v>988</v>
          </cell>
          <cell r="R537">
            <v>822</v>
          </cell>
          <cell r="S537">
            <v>712</v>
          </cell>
          <cell r="T537">
            <v>602</v>
          </cell>
          <cell r="U537">
            <v>424</v>
          </cell>
          <cell r="V537">
            <v>246</v>
          </cell>
          <cell r="W537">
            <v>792</v>
          </cell>
          <cell r="X537">
            <v>700</v>
          </cell>
          <cell r="Y537">
            <v>575</v>
          </cell>
          <cell r="Z537">
            <v>496</v>
          </cell>
          <cell r="AA537">
            <v>417</v>
          </cell>
          <cell r="AB537">
            <v>293</v>
          </cell>
          <cell r="AC537">
            <v>168</v>
          </cell>
        </row>
        <row r="538">
          <cell r="A538" t="str">
            <v>9-12-27</v>
          </cell>
          <cell r="B538">
            <v>1341</v>
          </cell>
          <cell r="C538">
            <v>1181</v>
          </cell>
          <cell r="D538">
            <v>966</v>
          </cell>
          <cell r="E538">
            <v>825</v>
          </cell>
          <cell r="F538">
            <v>684</v>
          </cell>
          <cell r="G538">
            <v>473</v>
          </cell>
          <cell r="H538">
            <v>261</v>
          </cell>
          <cell r="I538">
            <v>1006</v>
          </cell>
          <cell r="J538">
            <v>874</v>
          </cell>
          <cell r="K538">
            <v>704</v>
          </cell>
          <cell r="L538">
            <v>598</v>
          </cell>
          <cell r="M538">
            <v>491</v>
          </cell>
          <cell r="N538">
            <v>338</v>
          </cell>
          <cell r="O538">
            <v>185</v>
          </cell>
          <cell r="P538">
            <v>1005</v>
          </cell>
          <cell r="Q538">
            <v>903</v>
          </cell>
          <cell r="R538">
            <v>756</v>
          </cell>
          <cell r="S538">
            <v>656</v>
          </cell>
          <cell r="T538">
            <v>556</v>
          </cell>
          <cell r="U538">
            <v>392</v>
          </cell>
          <cell r="V538">
            <v>227</v>
          </cell>
          <cell r="W538">
            <v>754</v>
          </cell>
          <cell r="X538">
            <v>669</v>
          </cell>
          <cell r="Y538">
            <v>551</v>
          </cell>
          <cell r="Z538">
            <v>475</v>
          </cell>
          <cell r="AA538">
            <v>399</v>
          </cell>
          <cell r="AB538">
            <v>280</v>
          </cell>
          <cell r="AC538">
            <v>161</v>
          </cell>
        </row>
        <row r="539">
          <cell r="A539" t="str">
            <v>9-13-27</v>
          </cell>
          <cell r="B539">
            <v>1204</v>
          </cell>
          <cell r="C539">
            <v>1066</v>
          </cell>
          <cell r="D539">
            <v>876</v>
          </cell>
          <cell r="E539">
            <v>750</v>
          </cell>
          <cell r="F539">
            <v>624</v>
          </cell>
          <cell r="G539">
            <v>431</v>
          </cell>
          <cell r="H539">
            <v>238</v>
          </cell>
          <cell r="I539">
            <v>957</v>
          </cell>
          <cell r="J539">
            <v>833</v>
          </cell>
          <cell r="K539">
            <v>673</v>
          </cell>
          <cell r="L539">
            <v>572</v>
          </cell>
          <cell r="M539">
            <v>470</v>
          </cell>
          <cell r="N539">
            <v>323</v>
          </cell>
          <cell r="O539">
            <v>176</v>
          </cell>
          <cell r="P539">
            <v>903</v>
          </cell>
          <cell r="Q539">
            <v>815</v>
          </cell>
          <cell r="R539">
            <v>686</v>
          </cell>
          <cell r="S539">
            <v>597</v>
          </cell>
          <cell r="T539">
            <v>507</v>
          </cell>
          <cell r="U539">
            <v>357</v>
          </cell>
          <cell r="V539">
            <v>207</v>
          </cell>
          <cell r="W539">
            <v>718</v>
          </cell>
          <cell r="X539">
            <v>637</v>
          </cell>
          <cell r="Y539">
            <v>527</v>
          </cell>
          <cell r="Z539">
            <v>455</v>
          </cell>
          <cell r="AA539">
            <v>382</v>
          </cell>
          <cell r="AB539">
            <v>268</v>
          </cell>
          <cell r="AC539">
            <v>153</v>
          </cell>
        </row>
        <row r="540">
          <cell r="A540" t="str">
            <v>9-14-27</v>
          </cell>
          <cell r="B540">
            <v>1068</v>
          </cell>
          <cell r="C540">
            <v>943</v>
          </cell>
          <cell r="D540">
            <v>780</v>
          </cell>
          <cell r="E540">
            <v>669</v>
          </cell>
          <cell r="F540">
            <v>558</v>
          </cell>
          <cell r="G540">
            <v>385</v>
          </cell>
          <cell r="H540">
            <v>212</v>
          </cell>
          <cell r="I540">
            <v>914</v>
          </cell>
          <cell r="J540">
            <v>792</v>
          </cell>
          <cell r="K540">
            <v>641</v>
          </cell>
          <cell r="L540">
            <v>545</v>
          </cell>
          <cell r="M540">
            <v>448</v>
          </cell>
          <cell r="N540">
            <v>307</v>
          </cell>
          <cell r="O540">
            <v>165</v>
          </cell>
          <cell r="P540">
            <v>801</v>
          </cell>
          <cell r="Q540">
            <v>722</v>
          </cell>
          <cell r="R540">
            <v>611</v>
          </cell>
          <cell r="S540">
            <v>532</v>
          </cell>
          <cell r="T540">
            <v>453</v>
          </cell>
          <cell r="U540">
            <v>319</v>
          </cell>
          <cell r="V540">
            <v>185</v>
          </cell>
          <cell r="W540">
            <v>686</v>
          </cell>
          <cell r="X540">
            <v>606</v>
          </cell>
          <cell r="Y540">
            <v>502</v>
          </cell>
          <cell r="Z540">
            <v>433</v>
          </cell>
          <cell r="AA540">
            <v>363</v>
          </cell>
          <cell r="AB540">
            <v>254</v>
          </cell>
          <cell r="AC540">
            <v>144</v>
          </cell>
        </row>
        <row r="541">
          <cell r="A541" t="str">
            <v>9-15-27</v>
          </cell>
          <cell r="B541">
            <v>909</v>
          </cell>
          <cell r="C541">
            <v>807</v>
          </cell>
          <cell r="D541">
            <v>672</v>
          </cell>
          <cell r="E541">
            <v>578</v>
          </cell>
          <cell r="F541">
            <v>483</v>
          </cell>
          <cell r="G541">
            <v>333</v>
          </cell>
          <cell r="H541">
            <v>182</v>
          </cell>
          <cell r="I541">
            <v>861</v>
          </cell>
          <cell r="J541">
            <v>748</v>
          </cell>
          <cell r="K541">
            <v>605</v>
          </cell>
          <cell r="L541">
            <v>514</v>
          </cell>
          <cell r="M541">
            <v>423</v>
          </cell>
          <cell r="N541">
            <v>290</v>
          </cell>
          <cell r="O541">
            <v>157</v>
          </cell>
          <cell r="P541">
            <v>681</v>
          </cell>
          <cell r="Q541">
            <v>617</v>
          </cell>
          <cell r="R541">
            <v>526</v>
          </cell>
          <cell r="S541">
            <v>459</v>
          </cell>
          <cell r="T541">
            <v>392</v>
          </cell>
          <cell r="U541">
            <v>276</v>
          </cell>
          <cell r="V541">
            <v>159</v>
          </cell>
          <cell r="W541">
            <v>645</v>
          </cell>
          <cell r="X541">
            <v>572</v>
          </cell>
          <cell r="Y541">
            <v>474</v>
          </cell>
          <cell r="Z541">
            <v>409</v>
          </cell>
          <cell r="AA541">
            <v>343</v>
          </cell>
          <cell r="AB541">
            <v>240</v>
          </cell>
          <cell r="AC541">
            <v>137</v>
          </cell>
        </row>
        <row r="542">
          <cell r="A542" t="str">
            <v>9-16-27</v>
          </cell>
          <cell r="B542">
            <v>835</v>
          </cell>
          <cell r="C542">
            <v>741</v>
          </cell>
          <cell r="D542">
            <v>596</v>
          </cell>
          <cell r="E542">
            <v>507</v>
          </cell>
          <cell r="F542">
            <v>417</v>
          </cell>
          <cell r="G542">
            <v>286</v>
          </cell>
          <cell r="H542">
            <v>155</v>
          </cell>
          <cell r="I542">
            <v>835</v>
          </cell>
          <cell r="J542">
            <v>741</v>
          </cell>
          <cell r="K542">
            <v>596</v>
          </cell>
          <cell r="L542">
            <v>507</v>
          </cell>
          <cell r="M542">
            <v>417</v>
          </cell>
          <cell r="N542">
            <v>286</v>
          </cell>
          <cell r="O542">
            <v>155</v>
          </cell>
          <cell r="P542">
            <v>626</v>
          </cell>
          <cell r="Q542">
            <v>567</v>
          </cell>
          <cell r="R542">
            <v>467</v>
          </cell>
          <cell r="S542">
            <v>403</v>
          </cell>
          <cell r="T542">
            <v>339</v>
          </cell>
          <cell r="U542">
            <v>237</v>
          </cell>
          <cell r="V542">
            <v>135</v>
          </cell>
          <cell r="W542">
            <v>626</v>
          </cell>
          <cell r="X542">
            <v>567</v>
          </cell>
          <cell r="Y542">
            <v>467</v>
          </cell>
          <cell r="Z542">
            <v>403</v>
          </cell>
          <cell r="AA542">
            <v>339</v>
          </cell>
          <cell r="AB542">
            <v>237</v>
          </cell>
          <cell r="AC542">
            <v>135</v>
          </cell>
        </row>
        <row r="543">
          <cell r="A543" t="str">
            <v>9-17-27</v>
          </cell>
          <cell r="B543">
            <v>782</v>
          </cell>
          <cell r="C543">
            <v>696</v>
          </cell>
          <cell r="D543">
            <v>564</v>
          </cell>
          <cell r="E543">
            <v>480</v>
          </cell>
          <cell r="F543">
            <v>395</v>
          </cell>
          <cell r="G543">
            <v>271</v>
          </cell>
          <cell r="H543">
            <v>146</v>
          </cell>
          <cell r="I543">
            <v>782</v>
          </cell>
          <cell r="J543">
            <v>696</v>
          </cell>
          <cell r="K543">
            <v>564</v>
          </cell>
          <cell r="L543">
            <v>480</v>
          </cell>
          <cell r="M543">
            <v>395</v>
          </cell>
          <cell r="N543">
            <v>271</v>
          </cell>
          <cell r="O543">
            <v>146</v>
          </cell>
          <cell r="P543">
            <v>586</v>
          </cell>
          <cell r="Q543">
            <v>533</v>
          </cell>
          <cell r="R543">
            <v>441</v>
          </cell>
          <cell r="S543">
            <v>381</v>
          </cell>
          <cell r="T543">
            <v>321</v>
          </cell>
          <cell r="U543">
            <v>225</v>
          </cell>
          <cell r="V543">
            <v>128</v>
          </cell>
          <cell r="W543">
            <v>586</v>
          </cell>
          <cell r="X543">
            <v>533</v>
          </cell>
          <cell r="Y543">
            <v>441</v>
          </cell>
          <cell r="Z543">
            <v>381</v>
          </cell>
          <cell r="AA543">
            <v>321</v>
          </cell>
          <cell r="AB543">
            <v>225</v>
          </cell>
          <cell r="AC543">
            <v>128</v>
          </cell>
        </row>
        <row r="544">
          <cell r="A544" t="str">
            <v>10-12-27</v>
          </cell>
          <cell r="B544">
            <v>1335</v>
          </cell>
          <cell r="C544">
            <v>1174</v>
          </cell>
          <cell r="D544">
            <v>958</v>
          </cell>
          <cell r="E544">
            <v>817</v>
          </cell>
          <cell r="F544">
            <v>676</v>
          </cell>
          <cell r="G544">
            <v>466</v>
          </cell>
          <cell r="H544">
            <v>256</v>
          </cell>
          <cell r="I544">
            <v>1005</v>
          </cell>
          <cell r="J544">
            <v>872</v>
          </cell>
          <cell r="K544">
            <v>702</v>
          </cell>
          <cell r="L544">
            <v>596</v>
          </cell>
          <cell r="M544">
            <v>489</v>
          </cell>
          <cell r="N544">
            <v>336</v>
          </cell>
          <cell r="O544">
            <v>183</v>
          </cell>
          <cell r="P544">
            <v>1000</v>
          </cell>
          <cell r="Q544">
            <v>898</v>
          </cell>
          <cell r="R544">
            <v>750</v>
          </cell>
          <cell r="S544">
            <v>650</v>
          </cell>
          <cell r="T544">
            <v>549</v>
          </cell>
          <cell r="U544">
            <v>386</v>
          </cell>
          <cell r="V544">
            <v>223</v>
          </cell>
          <cell r="W544">
            <v>753</v>
          </cell>
          <cell r="X544">
            <v>667</v>
          </cell>
          <cell r="Y544">
            <v>550</v>
          </cell>
          <cell r="Z544">
            <v>474</v>
          </cell>
          <cell r="AA544">
            <v>397</v>
          </cell>
          <cell r="AB544">
            <v>278</v>
          </cell>
          <cell r="AC544">
            <v>159</v>
          </cell>
        </row>
        <row r="545">
          <cell r="A545" t="str">
            <v>10-13-27</v>
          </cell>
          <cell r="B545">
            <v>1197</v>
          </cell>
          <cell r="C545">
            <v>1057</v>
          </cell>
          <cell r="D545">
            <v>868</v>
          </cell>
          <cell r="E545">
            <v>743</v>
          </cell>
          <cell r="F545">
            <v>617</v>
          </cell>
          <cell r="G545">
            <v>426</v>
          </cell>
          <cell r="H545">
            <v>234</v>
          </cell>
          <cell r="I545">
            <v>955</v>
          </cell>
          <cell r="J545">
            <v>830</v>
          </cell>
          <cell r="K545">
            <v>671</v>
          </cell>
          <cell r="L545">
            <v>570</v>
          </cell>
          <cell r="M545">
            <v>468</v>
          </cell>
          <cell r="N545">
            <v>321</v>
          </cell>
          <cell r="O545">
            <v>174</v>
          </cell>
          <cell r="P545">
            <v>897</v>
          </cell>
          <cell r="Q545">
            <v>809</v>
          </cell>
          <cell r="R545">
            <v>679</v>
          </cell>
          <cell r="S545">
            <v>590</v>
          </cell>
          <cell r="T545">
            <v>501</v>
          </cell>
          <cell r="U545">
            <v>353</v>
          </cell>
          <cell r="V545">
            <v>204</v>
          </cell>
          <cell r="W545">
            <v>716</v>
          </cell>
          <cell r="X545">
            <v>636</v>
          </cell>
          <cell r="Y545">
            <v>525</v>
          </cell>
          <cell r="Z545">
            <v>453</v>
          </cell>
          <cell r="AA545">
            <v>380</v>
          </cell>
          <cell r="AB545">
            <v>266</v>
          </cell>
          <cell r="AC545">
            <v>152</v>
          </cell>
        </row>
        <row r="546">
          <cell r="A546" t="str">
            <v>10-14-27</v>
          </cell>
          <cell r="B546">
            <v>1062</v>
          </cell>
          <cell r="C546">
            <v>936</v>
          </cell>
          <cell r="D546">
            <v>774</v>
          </cell>
          <cell r="E546">
            <v>664</v>
          </cell>
          <cell r="F546">
            <v>553</v>
          </cell>
          <cell r="G546">
            <v>382</v>
          </cell>
          <cell r="H546">
            <v>211</v>
          </cell>
          <cell r="I546">
            <v>913</v>
          </cell>
          <cell r="J546">
            <v>789</v>
          </cell>
          <cell r="K546">
            <v>638</v>
          </cell>
          <cell r="L546">
            <v>542</v>
          </cell>
          <cell r="M546">
            <v>445</v>
          </cell>
          <cell r="N546">
            <v>306</v>
          </cell>
          <cell r="O546">
            <v>166</v>
          </cell>
          <cell r="P546">
            <v>796</v>
          </cell>
          <cell r="Q546">
            <v>716</v>
          </cell>
          <cell r="R546">
            <v>606</v>
          </cell>
          <cell r="S546">
            <v>528</v>
          </cell>
          <cell r="T546">
            <v>449</v>
          </cell>
          <cell r="U546">
            <v>316</v>
          </cell>
          <cell r="V546">
            <v>183</v>
          </cell>
          <cell r="W546">
            <v>684</v>
          </cell>
          <cell r="X546">
            <v>603</v>
          </cell>
          <cell r="Y546">
            <v>499</v>
          </cell>
          <cell r="Z546">
            <v>430</v>
          </cell>
          <cell r="AA546">
            <v>361</v>
          </cell>
          <cell r="AB546">
            <v>253</v>
          </cell>
          <cell r="AC546">
            <v>144</v>
          </cell>
        </row>
        <row r="547">
          <cell r="A547" t="str">
            <v>10-15-27</v>
          </cell>
          <cell r="B547">
            <v>903</v>
          </cell>
          <cell r="C547">
            <v>802</v>
          </cell>
          <cell r="D547">
            <v>667</v>
          </cell>
          <cell r="E547">
            <v>573</v>
          </cell>
          <cell r="F547">
            <v>479</v>
          </cell>
          <cell r="G547">
            <v>331</v>
          </cell>
          <cell r="H547">
            <v>182</v>
          </cell>
          <cell r="I547">
            <v>860</v>
          </cell>
          <cell r="J547">
            <v>745</v>
          </cell>
          <cell r="K547">
            <v>605</v>
          </cell>
          <cell r="L547">
            <v>513</v>
          </cell>
          <cell r="M547">
            <v>421</v>
          </cell>
          <cell r="N547">
            <v>289</v>
          </cell>
          <cell r="O547">
            <v>157</v>
          </cell>
          <cell r="P547">
            <v>677</v>
          </cell>
          <cell r="Q547">
            <v>614</v>
          </cell>
          <cell r="R547">
            <v>522</v>
          </cell>
          <cell r="S547">
            <v>456</v>
          </cell>
          <cell r="T547">
            <v>389</v>
          </cell>
          <cell r="U547">
            <v>274</v>
          </cell>
          <cell r="V547">
            <v>159</v>
          </cell>
          <cell r="W547">
            <v>644</v>
          </cell>
          <cell r="X547">
            <v>570</v>
          </cell>
          <cell r="Y547">
            <v>473</v>
          </cell>
          <cell r="Z547">
            <v>408</v>
          </cell>
          <cell r="AA547">
            <v>342</v>
          </cell>
          <cell r="AB547">
            <v>240</v>
          </cell>
          <cell r="AC547">
            <v>137</v>
          </cell>
        </row>
        <row r="548">
          <cell r="A548" t="str">
            <v>10-16-27</v>
          </cell>
          <cell r="B548">
            <v>828</v>
          </cell>
          <cell r="C548">
            <v>734</v>
          </cell>
          <cell r="D548">
            <v>590</v>
          </cell>
          <cell r="E548">
            <v>502</v>
          </cell>
          <cell r="F548">
            <v>414</v>
          </cell>
          <cell r="G548">
            <v>284</v>
          </cell>
          <cell r="H548">
            <v>153</v>
          </cell>
          <cell r="I548">
            <v>828</v>
          </cell>
          <cell r="J548">
            <v>734</v>
          </cell>
          <cell r="K548">
            <v>590</v>
          </cell>
          <cell r="L548">
            <v>502</v>
          </cell>
          <cell r="M548">
            <v>414</v>
          </cell>
          <cell r="N548">
            <v>284</v>
          </cell>
          <cell r="O548">
            <v>153</v>
          </cell>
          <cell r="P548">
            <v>621</v>
          </cell>
          <cell r="Q548">
            <v>561</v>
          </cell>
          <cell r="R548">
            <v>462</v>
          </cell>
          <cell r="S548">
            <v>399</v>
          </cell>
          <cell r="T548">
            <v>336</v>
          </cell>
          <cell r="U548">
            <v>235</v>
          </cell>
          <cell r="V548">
            <v>133</v>
          </cell>
          <cell r="W548">
            <v>621</v>
          </cell>
          <cell r="X548">
            <v>561</v>
          </cell>
          <cell r="Y548">
            <v>462</v>
          </cell>
          <cell r="Z548">
            <v>399</v>
          </cell>
          <cell r="AA548">
            <v>336</v>
          </cell>
          <cell r="AB548">
            <v>235</v>
          </cell>
          <cell r="AC548">
            <v>133</v>
          </cell>
        </row>
        <row r="549">
          <cell r="A549" t="str">
            <v>10-17-27</v>
          </cell>
          <cell r="B549">
            <v>776</v>
          </cell>
          <cell r="C549">
            <v>690</v>
          </cell>
          <cell r="D549">
            <v>559</v>
          </cell>
          <cell r="E549">
            <v>476</v>
          </cell>
          <cell r="F549">
            <v>392</v>
          </cell>
          <cell r="G549">
            <v>269</v>
          </cell>
          <cell r="H549">
            <v>146</v>
          </cell>
          <cell r="I549">
            <v>776</v>
          </cell>
          <cell r="J549">
            <v>690</v>
          </cell>
          <cell r="K549">
            <v>559</v>
          </cell>
          <cell r="L549">
            <v>476</v>
          </cell>
          <cell r="M549">
            <v>392</v>
          </cell>
          <cell r="N549">
            <v>269</v>
          </cell>
          <cell r="O549">
            <v>146</v>
          </cell>
          <cell r="P549">
            <v>581</v>
          </cell>
          <cell r="Q549">
            <v>528</v>
          </cell>
          <cell r="R549">
            <v>437</v>
          </cell>
          <cell r="S549">
            <v>378</v>
          </cell>
          <cell r="T549">
            <v>319</v>
          </cell>
          <cell r="U549">
            <v>224</v>
          </cell>
          <cell r="V549">
            <v>128</v>
          </cell>
          <cell r="W549">
            <v>581</v>
          </cell>
          <cell r="X549">
            <v>528</v>
          </cell>
          <cell r="Y549">
            <v>437</v>
          </cell>
          <cell r="Z549">
            <v>378</v>
          </cell>
          <cell r="AA549">
            <v>319</v>
          </cell>
          <cell r="AB549">
            <v>224</v>
          </cell>
          <cell r="AC549">
            <v>128</v>
          </cell>
        </row>
        <row r="550">
          <cell r="A550" t="str">
            <v>10-18-27</v>
          </cell>
          <cell r="B550">
            <v>720</v>
          </cell>
          <cell r="C550">
            <v>642</v>
          </cell>
          <cell r="D550">
            <v>528</v>
          </cell>
          <cell r="E550">
            <v>451</v>
          </cell>
          <cell r="F550">
            <v>374</v>
          </cell>
          <cell r="G550">
            <v>255</v>
          </cell>
          <cell r="H550">
            <v>136</v>
          </cell>
          <cell r="I550">
            <v>720</v>
          </cell>
          <cell r="J550">
            <v>642</v>
          </cell>
          <cell r="K550">
            <v>528</v>
          </cell>
          <cell r="L550">
            <v>451</v>
          </cell>
          <cell r="M550">
            <v>374</v>
          </cell>
          <cell r="N550">
            <v>255</v>
          </cell>
          <cell r="O550">
            <v>136</v>
          </cell>
          <cell r="P550">
            <v>540</v>
          </cell>
          <cell r="Q550">
            <v>492</v>
          </cell>
          <cell r="R550">
            <v>413</v>
          </cell>
          <cell r="S550">
            <v>359</v>
          </cell>
          <cell r="T550">
            <v>304</v>
          </cell>
          <cell r="U550">
            <v>211</v>
          </cell>
          <cell r="V550">
            <v>118</v>
          </cell>
          <cell r="W550">
            <v>540</v>
          </cell>
          <cell r="X550">
            <v>492</v>
          </cell>
          <cell r="Y550">
            <v>413</v>
          </cell>
          <cell r="Z550">
            <v>359</v>
          </cell>
          <cell r="AA550">
            <v>304</v>
          </cell>
          <cell r="AB550">
            <v>211</v>
          </cell>
          <cell r="AC550">
            <v>118</v>
          </cell>
        </row>
        <row r="551">
          <cell r="A551" t="str">
            <v>11-13-27</v>
          </cell>
          <cell r="B551">
            <v>1188</v>
          </cell>
          <cell r="C551">
            <v>1048</v>
          </cell>
          <cell r="D551">
            <v>859</v>
          </cell>
          <cell r="E551">
            <v>734</v>
          </cell>
          <cell r="F551">
            <v>608</v>
          </cell>
          <cell r="G551">
            <v>419</v>
          </cell>
          <cell r="H551">
            <v>230</v>
          </cell>
          <cell r="I551">
            <v>953</v>
          </cell>
          <cell r="J551">
            <v>827</v>
          </cell>
          <cell r="K551">
            <v>667</v>
          </cell>
          <cell r="L551">
            <v>566</v>
          </cell>
          <cell r="M551">
            <v>464</v>
          </cell>
          <cell r="N551">
            <v>319</v>
          </cell>
          <cell r="O551">
            <v>173</v>
          </cell>
          <cell r="P551">
            <v>891</v>
          </cell>
          <cell r="Q551">
            <v>802</v>
          </cell>
          <cell r="R551">
            <v>673</v>
          </cell>
          <cell r="S551">
            <v>584</v>
          </cell>
          <cell r="T551">
            <v>494</v>
          </cell>
          <cell r="U551">
            <v>347</v>
          </cell>
          <cell r="V551">
            <v>200</v>
          </cell>
          <cell r="W551">
            <v>715</v>
          </cell>
          <cell r="X551">
            <v>633</v>
          </cell>
          <cell r="Y551">
            <v>522</v>
          </cell>
          <cell r="Z551">
            <v>450</v>
          </cell>
          <cell r="AA551">
            <v>377</v>
          </cell>
          <cell r="AB551">
            <v>264</v>
          </cell>
          <cell r="AC551">
            <v>151</v>
          </cell>
        </row>
        <row r="552">
          <cell r="A552" t="str">
            <v>11-14-27</v>
          </cell>
          <cell r="B552">
            <v>1053</v>
          </cell>
          <cell r="C552">
            <v>926</v>
          </cell>
          <cell r="D552">
            <v>764</v>
          </cell>
          <cell r="E552">
            <v>654</v>
          </cell>
          <cell r="F552">
            <v>544</v>
          </cell>
          <cell r="G552">
            <v>375</v>
          </cell>
          <cell r="H552">
            <v>206</v>
          </cell>
          <cell r="I552">
            <v>910</v>
          </cell>
          <cell r="J552">
            <v>786</v>
          </cell>
          <cell r="K552">
            <v>635</v>
          </cell>
          <cell r="L552">
            <v>540</v>
          </cell>
          <cell r="M552">
            <v>444</v>
          </cell>
          <cell r="N552">
            <v>304</v>
          </cell>
          <cell r="O552">
            <v>164</v>
          </cell>
          <cell r="P552">
            <v>789</v>
          </cell>
          <cell r="Q552">
            <v>709</v>
          </cell>
          <cell r="R552">
            <v>598</v>
          </cell>
          <cell r="S552">
            <v>520</v>
          </cell>
          <cell r="T552">
            <v>442</v>
          </cell>
          <cell r="U552">
            <v>311</v>
          </cell>
          <cell r="V552">
            <v>180</v>
          </cell>
          <cell r="W552">
            <v>682</v>
          </cell>
          <cell r="X552">
            <v>602</v>
          </cell>
          <cell r="Y552">
            <v>497</v>
          </cell>
          <cell r="Z552">
            <v>429</v>
          </cell>
          <cell r="AA552">
            <v>361</v>
          </cell>
          <cell r="AB552">
            <v>252</v>
          </cell>
          <cell r="AC552">
            <v>143</v>
          </cell>
        </row>
        <row r="553">
          <cell r="A553" t="str">
            <v>11-15-27</v>
          </cell>
          <cell r="B553">
            <v>898</v>
          </cell>
          <cell r="C553">
            <v>797</v>
          </cell>
          <cell r="D553">
            <v>662</v>
          </cell>
          <cell r="E553">
            <v>568</v>
          </cell>
          <cell r="F553">
            <v>474</v>
          </cell>
          <cell r="G553">
            <v>327</v>
          </cell>
          <cell r="H553">
            <v>180</v>
          </cell>
          <cell r="I553">
            <v>858</v>
          </cell>
          <cell r="J553">
            <v>743</v>
          </cell>
          <cell r="K553">
            <v>602</v>
          </cell>
          <cell r="L553">
            <v>512</v>
          </cell>
          <cell r="M553">
            <v>421</v>
          </cell>
          <cell r="N553">
            <v>288</v>
          </cell>
          <cell r="O553">
            <v>155</v>
          </cell>
          <cell r="P553">
            <v>673</v>
          </cell>
          <cell r="Q553">
            <v>610</v>
          </cell>
          <cell r="R553">
            <v>518</v>
          </cell>
          <cell r="S553">
            <v>452</v>
          </cell>
          <cell r="T553">
            <v>385</v>
          </cell>
          <cell r="U553">
            <v>271</v>
          </cell>
          <cell r="V553">
            <v>157</v>
          </cell>
          <cell r="W553">
            <v>643</v>
          </cell>
          <cell r="X553">
            <v>569</v>
          </cell>
          <cell r="Y553">
            <v>471</v>
          </cell>
          <cell r="Z553">
            <v>407</v>
          </cell>
          <cell r="AA553">
            <v>342</v>
          </cell>
          <cell r="AB553">
            <v>239</v>
          </cell>
          <cell r="AC553">
            <v>135</v>
          </cell>
        </row>
        <row r="554">
          <cell r="A554" t="str">
            <v>11-16-27</v>
          </cell>
          <cell r="B554">
            <v>821</v>
          </cell>
          <cell r="C554">
            <v>727</v>
          </cell>
          <cell r="D554">
            <v>584</v>
          </cell>
          <cell r="E554">
            <v>497</v>
          </cell>
          <cell r="F554">
            <v>409</v>
          </cell>
          <cell r="G554">
            <v>280</v>
          </cell>
          <cell r="H554">
            <v>151</v>
          </cell>
          <cell r="I554">
            <v>821</v>
          </cell>
          <cell r="J554">
            <v>727</v>
          </cell>
          <cell r="K554">
            <v>584</v>
          </cell>
          <cell r="L554">
            <v>497</v>
          </cell>
          <cell r="M554">
            <v>409</v>
          </cell>
          <cell r="N554">
            <v>280</v>
          </cell>
          <cell r="O554">
            <v>151</v>
          </cell>
          <cell r="P554">
            <v>615</v>
          </cell>
          <cell r="Q554">
            <v>556</v>
          </cell>
          <cell r="R554">
            <v>457</v>
          </cell>
          <cell r="S554">
            <v>395</v>
          </cell>
          <cell r="T554">
            <v>332</v>
          </cell>
          <cell r="U554">
            <v>232</v>
          </cell>
          <cell r="V554">
            <v>132</v>
          </cell>
          <cell r="W554">
            <v>615</v>
          </cell>
          <cell r="X554">
            <v>556</v>
          </cell>
          <cell r="Y554">
            <v>457</v>
          </cell>
          <cell r="Z554">
            <v>395</v>
          </cell>
          <cell r="AA554">
            <v>332</v>
          </cell>
          <cell r="AB554">
            <v>232</v>
          </cell>
          <cell r="AC554">
            <v>132</v>
          </cell>
        </row>
        <row r="555">
          <cell r="A555" t="str">
            <v>11-17-27</v>
          </cell>
          <cell r="B555">
            <v>768</v>
          </cell>
          <cell r="C555">
            <v>682</v>
          </cell>
          <cell r="D555">
            <v>552</v>
          </cell>
          <cell r="E555">
            <v>471</v>
          </cell>
          <cell r="F555">
            <v>389</v>
          </cell>
          <cell r="G555">
            <v>266</v>
          </cell>
          <cell r="H555">
            <v>143</v>
          </cell>
          <cell r="I555">
            <v>768</v>
          </cell>
          <cell r="J555">
            <v>682</v>
          </cell>
          <cell r="K555">
            <v>552</v>
          </cell>
          <cell r="L555">
            <v>471</v>
          </cell>
          <cell r="M555">
            <v>389</v>
          </cell>
          <cell r="N555">
            <v>266</v>
          </cell>
          <cell r="O555">
            <v>143</v>
          </cell>
          <cell r="P555">
            <v>576</v>
          </cell>
          <cell r="Q555">
            <v>522</v>
          </cell>
          <cell r="R555">
            <v>432</v>
          </cell>
          <cell r="S555">
            <v>374</v>
          </cell>
          <cell r="T555">
            <v>316</v>
          </cell>
          <cell r="U555">
            <v>221</v>
          </cell>
          <cell r="V555">
            <v>125</v>
          </cell>
          <cell r="W555">
            <v>576</v>
          </cell>
          <cell r="X555">
            <v>522</v>
          </cell>
          <cell r="Y555">
            <v>432</v>
          </cell>
          <cell r="Z555">
            <v>374</v>
          </cell>
          <cell r="AA555">
            <v>316</v>
          </cell>
          <cell r="AB555">
            <v>221</v>
          </cell>
          <cell r="AC555">
            <v>125</v>
          </cell>
        </row>
        <row r="556">
          <cell r="A556" t="str">
            <v>11-18-27</v>
          </cell>
          <cell r="B556">
            <v>715</v>
          </cell>
          <cell r="C556">
            <v>638</v>
          </cell>
          <cell r="D556">
            <v>525</v>
          </cell>
          <cell r="E556">
            <v>446</v>
          </cell>
          <cell r="F556">
            <v>366</v>
          </cell>
          <cell r="G556">
            <v>251</v>
          </cell>
          <cell r="H556">
            <v>136</v>
          </cell>
          <cell r="I556">
            <v>715</v>
          </cell>
          <cell r="J556">
            <v>638</v>
          </cell>
          <cell r="K556">
            <v>525</v>
          </cell>
          <cell r="L556">
            <v>446</v>
          </cell>
          <cell r="M556">
            <v>366</v>
          </cell>
          <cell r="N556">
            <v>251</v>
          </cell>
          <cell r="O556">
            <v>136</v>
          </cell>
          <cell r="P556">
            <v>536</v>
          </cell>
          <cell r="Q556">
            <v>488</v>
          </cell>
          <cell r="R556">
            <v>411</v>
          </cell>
          <cell r="S556">
            <v>354</v>
          </cell>
          <cell r="T556">
            <v>297</v>
          </cell>
          <cell r="U556">
            <v>208</v>
          </cell>
          <cell r="V556">
            <v>118</v>
          </cell>
          <cell r="W556">
            <v>536</v>
          </cell>
          <cell r="X556">
            <v>488</v>
          </cell>
          <cell r="Y556">
            <v>411</v>
          </cell>
          <cell r="Z556">
            <v>354</v>
          </cell>
          <cell r="AA556">
            <v>297</v>
          </cell>
          <cell r="AB556">
            <v>208</v>
          </cell>
          <cell r="AC556">
            <v>118</v>
          </cell>
        </row>
        <row r="557">
          <cell r="A557" t="str">
            <v>11-19-27</v>
          </cell>
          <cell r="B557">
            <v>656</v>
          </cell>
          <cell r="C557">
            <v>588</v>
          </cell>
          <cell r="D557">
            <v>485</v>
          </cell>
          <cell r="E557">
            <v>414</v>
          </cell>
          <cell r="F557">
            <v>343</v>
          </cell>
          <cell r="G557">
            <v>234</v>
          </cell>
          <cell r="H557">
            <v>124</v>
          </cell>
          <cell r="I557">
            <v>656</v>
          </cell>
          <cell r="J557">
            <v>588</v>
          </cell>
          <cell r="K557">
            <v>485</v>
          </cell>
          <cell r="L557">
            <v>414</v>
          </cell>
          <cell r="M557">
            <v>343</v>
          </cell>
          <cell r="N557">
            <v>234</v>
          </cell>
          <cell r="O557">
            <v>124</v>
          </cell>
          <cell r="P557">
            <v>492</v>
          </cell>
          <cell r="Q557">
            <v>450</v>
          </cell>
          <cell r="R557">
            <v>379</v>
          </cell>
          <cell r="S557">
            <v>329</v>
          </cell>
          <cell r="T557">
            <v>279</v>
          </cell>
          <cell r="U557">
            <v>194</v>
          </cell>
          <cell r="V557">
            <v>108</v>
          </cell>
          <cell r="W557">
            <v>492</v>
          </cell>
          <cell r="X557">
            <v>450</v>
          </cell>
          <cell r="Y557">
            <v>379</v>
          </cell>
          <cell r="Z557">
            <v>329</v>
          </cell>
          <cell r="AA557">
            <v>279</v>
          </cell>
          <cell r="AB557">
            <v>194</v>
          </cell>
          <cell r="AC557">
            <v>108</v>
          </cell>
        </row>
        <row r="558">
          <cell r="A558" t="str">
            <v>12-14-27</v>
          </cell>
          <cell r="B558">
            <v>1043</v>
          </cell>
          <cell r="C558">
            <v>916</v>
          </cell>
          <cell r="D558">
            <v>753</v>
          </cell>
          <cell r="E558">
            <v>644</v>
          </cell>
          <cell r="F558">
            <v>535</v>
          </cell>
          <cell r="G558">
            <v>369</v>
          </cell>
          <cell r="H558">
            <v>202</v>
          </cell>
          <cell r="I558">
            <v>906</v>
          </cell>
          <cell r="J558">
            <v>783</v>
          </cell>
          <cell r="K558">
            <v>631</v>
          </cell>
          <cell r="L558">
            <v>536</v>
          </cell>
          <cell r="M558">
            <v>440</v>
          </cell>
          <cell r="N558">
            <v>301</v>
          </cell>
          <cell r="O558">
            <v>162</v>
          </cell>
          <cell r="P558">
            <v>782</v>
          </cell>
          <cell r="Q558">
            <v>701</v>
          </cell>
          <cell r="R558">
            <v>590</v>
          </cell>
          <cell r="S558">
            <v>513</v>
          </cell>
          <cell r="T558">
            <v>435</v>
          </cell>
          <cell r="U558">
            <v>306</v>
          </cell>
          <cell r="V558">
            <v>176</v>
          </cell>
          <cell r="W558">
            <v>679</v>
          </cell>
          <cell r="X558">
            <v>599</v>
          </cell>
          <cell r="Y558">
            <v>495</v>
          </cell>
          <cell r="Z558">
            <v>427</v>
          </cell>
          <cell r="AA558">
            <v>358</v>
          </cell>
          <cell r="AB558">
            <v>250</v>
          </cell>
          <cell r="AC558">
            <v>141</v>
          </cell>
        </row>
        <row r="559">
          <cell r="A559" t="str">
            <v>12-15-27</v>
          </cell>
          <cell r="B559">
            <v>889</v>
          </cell>
          <cell r="C559">
            <v>787</v>
          </cell>
          <cell r="D559">
            <v>653</v>
          </cell>
          <cell r="E559">
            <v>561</v>
          </cell>
          <cell r="F559">
            <v>468</v>
          </cell>
          <cell r="G559">
            <v>323</v>
          </cell>
          <cell r="H559">
            <v>177</v>
          </cell>
          <cell r="I559">
            <v>854</v>
          </cell>
          <cell r="J559">
            <v>740</v>
          </cell>
          <cell r="K559">
            <v>599</v>
          </cell>
          <cell r="L559">
            <v>509</v>
          </cell>
          <cell r="M559">
            <v>419</v>
          </cell>
          <cell r="N559">
            <v>287</v>
          </cell>
          <cell r="O559">
            <v>154</v>
          </cell>
          <cell r="P559">
            <v>666</v>
          </cell>
          <cell r="Q559">
            <v>602</v>
          </cell>
          <cell r="R559">
            <v>511</v>
          </cell>
          <cell r="S559">
            <v>446</v>
          </cell>
          <cell r="T559">
            <v>380</v>
          </cell>
          <cell r="U559">
            <v>267</v>
          </cell>
          <cell r="V559">
            <v>154</v>
          </cell>
          <cell r="W559">
            <v>640</v>
          </cell>
          <cell r="X559">
            <v>566</v>
          </cell>
          <cell r="Y559">
            <v>469</v>
          </cell>
          <cell r="Z559">
            <v>405</v>
          </cell>
          <cell r="AA559">
            <v>340</v>
          </cell>
          <cell r="AB559">
            <v>237</v>
          </cell>
          <cell r="AC559">
            <v>134</v>
          </cell>
        </row>
        <row r="560">
          <cell r="A560" t="str">
            <v>12-16-27</v>
          </cell>
          <cell r="B560">
            <v>813</v>
          </cell>
          <cell r="C560">
            <v>719</v>
          </cell>
          <cell r="D560">
            <v>578</v>
          </cell>
          <cell r="E560">
            <v>491</v>
          </cell>
          <cell r="F560">
            <v>404</v>
          </cell>
          <cell r="G560">
            <v>277</v>
          </cell>
          <cell r="H560">
            <v>149</v>
          </cell>
          <cell r="I560">
            <v>813</v>
          </cell>
          <cell r="J560">
            <v>719</v>
          </cell>
          <cell r="K560">
            <v>578</v>
          </cell>
          <cell r="L560">
            <v>491</v>
          </cell>
          <cell r="M560">
            <v>404</v>
          </cell>
          <cell r="N560">
            <v>277</v>
          </cell>
          <cell r="O560">
            <v>149</v>
          </cell>
          <cell r="P560">
            <v>610</v>
          </cell>
          <cell r="Q560">
            <v>550</v>
          </cell>
          <cell r="R560">
            <v>453</v>
          </cell>
          <cell r="S560">
            <v>391</v>
          </cell>
          <cell r="T560">
            <v>328</v>
          </cell>
          <cell r="U560">
            <v>229</v>
          </cell>
          <cell r="V560">
            <v>130</v>
          </cell>
          <cell r="W560">
            <v>610</v>
          </cell>
          <cell r="X560">
            <v>550</v>
          </cell>
          <cell r="Y560">
            <v>453</v>
          </cell>
          <cell r="Z560">
            <v>391</v>
          </cell>
          <cell r="AA560">
            <v>328</v>
          </cell>
          <cell r="AB560">
            <v>229</v>
          </cell>
          <cell r="AC560">
            <v>130</v>
          </cell>
        </row>
        <row r="561">
          <cell r="A561" t="str">
            <v>12-17-27</v>
          </cell>
          <cell r="B561">
            <v>760</v>
          </cell>
          <cell r="C561">
            <v>676</v>
          </cell>
          <cell r="D561">
            <v>547</v>
          </cell>
          <cell r="E561">
            <v>466</v>
          </cell>
          <cell r="F561">
            <v>384</v>
          </cell>
          <cell r="G561">
            <v>263</v>
          </cell>
          <cell r="H561">
            <v>141</v>
          </cell>
          <cell r="I561">
            <v>760</v>
          </cell>
          <cell r="J561">
            <v>676</v>
          </cell>
          <cell r="K561">
            <v>547</v>
          </cell>
          <cell r="L561">
            <v>466</v>
          </cell>
          <cell r="M561">
            <v>384</v>
          </cell>
          <cell r="N561">
            <v>263</v>
          </cell>
          <cell r="O561">
            <v>141</v>
          </cell>
          <cell r="P561">
            <v>570</v>
          </cell>
          <cell r="Q561">
            <v>517</v>
          </cell>
          <cell r="R561">
            <v>428</v>
          </cell>
          <cell r="S561">
            <v>370</v>
          </cell>
          <cell r="T561">
            <v>312</v>
          </cell>
          <cell r="U561">
            <v>217</v>
          </cell>
          <cell r="V561">
            <v>122</v>
          </cell>
          <cell r="W561">
            <v>570</v>
          </cell>
          <cell r="X561">
            <v>517</v>
          </cell>
          <cell r="Y561">
            <v>428</v>
          </cell>
          <cell r="Z561">
            <v>370</v>
          </cell>
          <cell r="AA561">
            <v>312</v>
          </cell>
          <cell r="AB561">
            <v>217</v>
          </cell>
          <cell r="AC561">
            <v>122</v>
          </cell>
        </row>
        <row r="562">
          <cell r="A562" t="str">
            <v>12-18-27</v>
          </cell>
          <cell r="B562">
            <v>707</v>
          </cell>
          <cell r="C562">
            <v>630</v>
          </cell>
          <cell r="D562">
            <v>518</v>
          </cell>
          <cell r="E562">
            <v>440</v>
          </cell>
          <cell r="F562">
            <v>362</v>
          </cell>
          <cell r="G562">
            <v>249</v>
          </cell>
          <cell r="H562">
            <v>135</v>
          </cell>
          <cell r="I562">
            <v>707</v>
          </cell>
          <cell r="J562">
            <v>630</v>
          </cell>
          <cell r="K562">
            <v>518</v>
          </cell>
          <cell r="L562">
            <v>440</v>
          </cell>
          <cell r="M562">
            <v>362</v>
          </cell>
          <cell r="N562">
            <v>249</v>
          </cell>
          <cell r="O562">
            <v>135</v>
          </cell>
          <cell r="P562">
            <v>530</v>
          </cell>
          <cell r="Q562">
            <v>482</v>
          </cell>
          <cell r="R562">
            <v>406</v>
          </cell>
          <cell r="S562">
            <v>350</v>
          </cell>
          <cell r="T562">
            <v>294</v>
          </cell>
          <cell r="U562">
            <v>206</v>
          </cell>
          <cell r="V562">
            <v>117</v>
          </cell>
          <cell r="W562">
            <v>530</v>
          </cell>
          <cell r="X562">
            <v>482</v>
          </cell>
          <cell r="Y562">
            <v>406</v>
          </cell>
          <cell r="Z562">
            <v>350</v>
          </cell>
          <cell r="AA562">
            <v>294</v>
          </cell>
          <cell r="AB562">
            <v>206</v>
          </cell>
          <cell r="AC562">
            <v>117</v>
          </cell>
        </row>
        <row r="563">
          <cell r="A563" t="str">
            <v>12-19-27</v>
          </cell>
          <cell r="B563">
            <v>651</v>
          </cell>
          <cell r="C563">
            <v>583</v>
          </cell>
          <cell r="D563">
            <v>482</v>
          </cell>
          <cell r="E563">
            <v>412</v>
          </cell>
          <cell r="F563">
            <v>342</v>
          </cell>
          <cell r="G563">
            <v>233</v>
          </cell>
          <cell r="H563">
            <v>124</v>
          </cell>
          <cell r="I563">
            <v>651</v>
          </cell>
          <cell r="J563">
            <v>583</v>
          </cell>
          <cell r="K563">
            <v>482</v>
          </cell>
          <cell r="L563">
            <v>412</v>
          </cell>
          <cell r="M563">
            <v>342</v>
          </cell>
          <cell r="N563">
            <v>233</v>
          </cell>
          <cell r="O563">
            <v>124</v>
          </cell>
          <cell r="P563">
            <v>488</v>
          </cell>
          <cell r="Q563">
            <v>446</v>
          </cell>
          <cell r="R563">
            <v>377</v>
          </cell>
          <cell r="S563">
            <v>328</v>
          </cell>
          <cell r="T563">
            <v>278</v>
          </cell>
          <cell r="U563">
            <v>193</v>
          </cell>
          <cell r="V563">
            <v>108</v>
          </cell>
          <cell r="W563">
            <v>488</v>
          </cell>
          <cell r="X563">
            <v>446</v>
          </cell>
          <cell r="Y563">
            <v>377</v>
          </cell>
          <cell r="Z563">
            <v>328</v>
          </cell>
          <cell r="AA563">
            <v>278</v>
          </cell>
          <cell r="AB563">
            <v>193</v>
          </cell>
          <cell r="AC563">
            <v>108</v>
          </cell>
        </row>
        <row r="564">
          <cell r="A564" t="str">
            <v>12-20-27</v>
          </cell>
          <cell r="B564">
            <v>590</v>
          </cell>
          <cell r="C564">
            <v>531</v>
          </cell>
          <cell r="D564">
            <v>441</v>
          </cell>
          <cell r="E564">
            <v>377</v>
          </cell>
          <cell r="F564">
            <v>313</v>
          </cell>
          <cell r="G564">
            <v>213</v>
          </cell>
          <cell r="H564">
            <v>112</v>
          </cell>
          <cell r="I564">
            <v>590</v>
          </cell>
          <cell r="J564">
            <v>531</v>
          </cell>
          <cell r="K564">
            <v>441</v>
          </cell>
          <cell r="L564">
            <v>377</v>
          </cell>
          <cell r="M564">
            <v>313</v>
          </cell>
          <cell r="N564">
            <v>213</v>
          </cell>
          <cell r="O564">
            <v>112</v>
          </cell>
          <cell r="P564">
            <v>443</v>
          </cell>
          <cell r="Q564">
            <v>406</v>
          </cell>
          <cell r="R564">
            <v>345</v>
          </cell>
          <cell r="S564">
            <v>300</v>
          </cell>
          <cell r="T564">
            <v>255</v>
          </cell>
          <cell r="U564">
            <v>177</v>
          </cell>
          <cell r="V564">
            <v>98</v>
          </cell>
          <cell r="W564">
            <v>443</v>
          </cell>
          <cell r="X564">
            <v>406</v>
          </cell>
          <cell r="Y564">
            <v>345</v>
          </cell>
          <cell r="Z564">
            <v>300</v>
          </cell>
          <cell r="AA564">
            <v>255</v>
          </cell>
          <cell r="AB564">
            <v>177</v>
          </cell>
          <cell r="AC564">
            <v>98</v>
          </cell>
        </row>
        <row r="565">
          <cell r="A565" t="str">
            <v>13-15-27</v>
          </cell>
          <cell r="B565">
            <v>878</v>
          </cell>
          <cell r="C565">
            <v>776</v>
          </cell>
          <cell r="D565">
            <v>641</v>
          </cell>
          <cell r="E565">
            <v>550</v>
          </cell>
          <cell r="F565">
            <v>458</v>
          </cell>
          <cell r="G565">
            <v>315</v>
          </cell>
          <cell r="H565">
            <v>172</v>
          </cell>
          <cell r="I565">
            <v>850</v>
          </cell>
          <cell r="J565">
            <v>736</v>
          </cell>
          <cell r="K565">
            <v>596</v>
          </cell>
          <cell r="L565">
            <v>507</v>
          </cell>
          <cell r="M565">
            <v>417</v>
          </cell>
          <cell r="N565">
            <v>285</v>
          </cell>
          <cell r="O565">
            <v>152</v>
          </cell>
          <cell r="P565">
            <v>658</v>
          </cell>
          <cell r="Q565">
            <v>594</v>
          </cell>
          <cell r="R565">
            <v>502</v>
          </cell>
          <cell r="S565">
            <v>437</v>
          </cell>
          <cell r="T565">
            <v>372</v>
          </cell>
          <cell r="U565">
            <v>261</v>
          </cell>
          <cell r="V565">
            <v>150</v>
          </cell>
          <cell r="W565">
            <v>637</v>
          </cell>
          <cell r="X565">
            <v>563</v>
          </cell>
          <cell r="Y565">
            <v>467</v>
          </cell>
          <cell r="Z565">
            <v>403</v>
          </cell>
          <cell r="AA565">
            <v>338</v>
          </cell>
          <cell r="AB565">
            <v>236</v>
          </cell>
          <cell r="AC565">
            <v>133</v>
          </cell>
        </row>
        <row r="566">
          <cell r="A566" t="str">
            <v>13-16-27</v>
          </cell>
          <cell r="B566">
            <v>805</v>
          </cell>
          <cell r="C566">
            <v>712</v>
          </cell>
          <cell r="D566">
            <v>572</v>
          </cell>
          <cell r="E566">
            <v>486</v>
          </cell>
          <cell r="F566">
            <v>400</v>
          </cell>
          <cell r="G566">
            <v>273</v>
          </cell>
          <cell r="H566">
            <v>146</v>
          </cell>
          <cell r="I566">
            <v>805</v>
          </cell>
          <cell r="J566">
            <v>712</v>
          </cell>
          <cell r="K566">
            <v>572</v>
          </cell>
          <cell r="L566">
            <v>486</v>
          </cell>
          <cell r="M566">
            <v>400</v>
          </cell>
          <cell r="N566">
            <v>273</v>
          </cell>
          <cell r="O566">
            <v>146</v>
          </cell>
          <cell r="P566">
            <v>603</v>
          </cell>
          <cell r="Q566">
            <v>545</v>
          </cell>
          <cell r="R566">
            <v>448</v>
          </cell>
          <cell r="S566">
            <v>387</v>
          </cell>
          <cell r="T566">
            <v>325</v>
          </cell>
          <cell r="U566">
            <v>227</v>
          </cell>
          <cell r="V566">
            <v>128</v>
          </cell>
          <cell r="W566">
            <v>603</v>
          </cell>
          <cell r="X566">
            <v>545</v>
          </cell>
          <cell r="Y566">
            <v>448</v>
          </cell>
          <cell r="Z566">
            <v>387</v>
          </cell>
          <cell r="AA566">
            <v>325</v>
          </cell>
          <cell r="AB566">
            <v>227</v>
          </cell>
          <cell r="AC566">
            <v>128</v>
          </cell>
        </row>
        <row r="567">
          <cell r="A567" t="str">
            <v>13-17-27</v>
          </cell>
          <cell r="B567">
            <v>753</v>
          </cell>
          <cell r="C567">
            <v>668</v>
          </cell>
          <cell r="D567">
            <v>540</v>
          </cell>
          <cell r="E567">
            <v>460</v>
          </cell>
          <cell r="F567">
            <v>379</v>
          </cell>
          <cell r="G567">
            <v>259</v>
          </cell>
          <cell r="H567">
            <v>139</v>
          </cell>
          <cell r="I567">
            <v>753</v>
          </cell>
          <cell r="J567">
            <v>668</v>
          </cell>
          <cell r="K567">
            <v>540</v>
          </cell>
          <cell r="L567">
            <v>460</v>
          </cell>
          <cell r="M567">
            <v>379</v>
          </cell>
          <cell r="N567">
            <v>259</v>
          </cell>
          <cell r="O567">
            <v>139</v>
          </cell>
          <cell r="P567">
            <v>564</v>
          </cell>
          <cell r="Q567">
            <v>511</v>
          </cell>
          <cell r="R567">
            <v>423</v>
          </cell>
          <cell r="S567">
            <v>365</v>
          </cell>
          <cell r="T567">
            <v>307</v>
          </cell>
          <cell r="U567">
            <v>214</v>
          </cell>
          <cell r="V567">
            <v>121</v>
          </cell>
          <cell r="W567">
            <v>564</v>
          </cell>
          <cell r="X567">
            <v>511</v>
          </cell>
          <cell r="Y567">
            <v>423</v>
          </cell>
          <cell r="Z567">
            <v>365</v>
          </cell>
          <cell r="AA567">
            <v>307</v>
          </cell>
          <cell r="AB567">
            <v>214</v>
          </cell>
          <cell r="AC567">
            <v>121</v>
          </cell>
        </row>
        <row r="568">
          <cell r="A568" t="str">
            <v>13-18-27</v>
          </cell>
          <cell r="B568">
            <v>699</v>
          </cell>
          <cell r="C568">
            <v>623</v>
          </cell>
          <cell r="D568">
            <v>512</v>
          </cell>
          <cell r="E568">
            <v>435</v>
          </cell>
          <cell r="F568">
            <v>357</v>
          </cell>
          <cell r="G568">
            <v>245</v>
          </cell>
          <cell r="H568">
            <v>133</v>
          </cell>
          <cell r="I568">
            <v>699</v>
          </cell>
          <cell r="J568">
            <v>623</v>
          </cell>
          <cell r="K568">
            <v>512</v>
          </cell>
          <cell r="L568">
            <v>435</v>
          </cell>
          <cell r="M568">
            <v>357</v>
          </cell>
          <cell r="N568">
            <v>245</v>
          </cell>
          <cell r="O568">
            <v>133</v>
          </cell>
          <cell r="P568">
            <v>524</v>
          </cell>
          <cell r="Q568">
            <v>477</v>
          </cell>
          <cell r="R568">
            <v>401</v>
          </cell>
          <cell r="S568">
            <v>346</v>
          </cell>
          <cell r="T568">
            <v>290</v>
          </cell>
          <cell r="U568">
            <v>203</v>
          </cell>
          <cell r="V568">
            <v>116</v>
          </cell>
          <cell r="W568">
            <v>524</v>
          </cell>
          <cell r="X568">
            <v>477</v>
          </cell>
          <cell r="Y568">
            <v>401</v>
          </cell>
          <cell r="Z568">
            <v>346</v>
          </cell>
          <cell r="AA568">
            <v>290</v>
          </cell>
          <cell r="AB568">
            <v>203</v>
          </cell>
          <cell r="AC568">
            <v>116</v>
          </cell>
        </row>
        <row r="569">
          <cell r="A569" t="str">
            <v>13-19-27</v>
          </cell>
          <cell r="B569">
            <v>645</v>
          </cell>
          <cell r="C569">
            <v>576</v>
          </cell>
          <cell r="D569">
            <v>476</v>
          </cell>
          <cell r="E569">
            <v>408</v>
          </cell>
          <cell r="F569">
            <v>340</v>
          </cell>
          <cell r="G569">
            <v>232</v>
          </cell>
          <cell r="H569">
            <v>124</v>
          </cell>
          <cell r="I569">
            <v>645</v>
          </cell>
          <cell r="J569">
            <v>576</v>
          </cell>
          <cell r="K569">
            <v>476</v>
          </cell>
          <cell r="L569">
            <v>408</v>
          </cell>
          <cell r="M569">
            <v>340</v>
          </cell>
          <cell r="N569">
            <v>232</v>
          </cell>
          <cell r="O569">
            <v>124</v>
          </cell>
          <cell r="P569">
            <v>483</v>
          </cell>
          <cell r="Q569">
            <v>441</v>
          </cell>
          <cell r="R569">
            <v>372</v>
          </cell>
          <cell r="S569">
            <v>324</v>
          </cell>
          <cell r="T569">
            <v>276</v>
          </cell>
          <cell r="U569">
            <v>192</v>
          </cell>
          <cell r="V569">
            <v>108</v>
          </cell>
          <cell r="W569">
            <v>483</v>
          </cell>
          <cell r="X569">
            <v>441</v>
          </cell>
          <cell r="Y569">
            <v>372</v>
          </cell>
          <cell r="Z569">
            <v>324</v>
          </cell>
          <cell r="AA569">
            <v>276</v>
          </cell>
          <cell r="AB569">
            <v>192</v>
          </cell>
          <cell r="AC569">
            <v>108</v>
          </cell>
        </row>
        <row r="570">
          <cell r="A570" t="str">
            <v>13-20-27</v>
          </cell>
          <cell r="B570">
            <v>585</v>
          </cell>
          <cell r="C570">
            <v>526</v>
          </cell>
          <cell r="D570">
            <v>436</v>
          </cell>
          <cell r="E570">
            <v>374</v>
          </cell>
          <cell r="F570">
            <v>312</v>
          </cell>
          <cell r="G570">
            <v>213</v>
          </cell>
          <cell r="H570">
            <v>113</v>
          </cell>
          <cell r="I570">
            <v>585</v>
          </cell>
          <cell r="J570">
            <v>526</v>
          </cell>
          <cell r="K570">
            <v>436</v>
          </cell>
          <cell r="L570">
            <v>374</v>
          </cell>
          <cell r="M570">
            <v>312</v>
          </cell>
          <cell r="N570">
            <v>213</v>
          </cell>
          <cell r="O570">
            <v>113</v>
          </cell>
          <cell r="P570">
            <v>439</v>
          </cell>
          <cell r="Q570">
            <v>403</v>
          </cell>
          <cell r="R570">
            <v>341</v>
          </cell>
          <cell r="S570">
            <v>297</v>
          </cell>
          <cell r="T570">
            <v>253</v>
          </cell>
          <cell r="U570">
            <v>176</v>
          </cell>
          <cell r="V570">
            <v>99</v>
          </cell>
          <cell r="W570">
            <v>439</v>
          </cell>
          <cell r="X570">
            <v>403</v>
          </cell>
          <cell r="Y570">
            <v>341</v>
          </cell>
          <cell r="Z570">
            <v>297</v>
          </cell>
          <cell r="AA570">
            <v>253</v>
          </cell>
          <cell r="AB570">
            <v>176</v>
          </cell>
          <cell r="AC570">
            <v>99</v>
          </cell>
        </row>
        <row r="571">
          <cell r="A571" t="str">
            <v>13-21-27</v>
          </cell>
          <cell r="B571">
            <v>521</v>
          </cell>
          <cell r="C571">
            <v>472</v>
          </cell>
          <cell r="D571">
            <v>393</v>
          </cell>
          <cell r="E571">
            <v>338</v>
          </cell>
          <cell r="F571">
            <v>282</v>
          </cell>
          <cell r="G571">
            <v>192</v>
          </cell>
          <cell r="H571">
            <v>102</v>
          </cell>
          <cell r="I571">
            <v>521</v>
          </cell>
          <cell r="J571">
            <v>472</v>
          </cell>
          <cell r="K571">
            <v>393</v>
          </cell>
          <cell r="L571">
            <v>338</v>
          </cell>
          <cell r="M571">
            <v>282</v>
          </cell>
          <cell r="N571">
            <v>192</v>
          </cell>
          <cell r="O571">
            <v>102</v>
          </cell>
          <cell r="P571">
            <v>391</v>
          </cell>
          <cell r="Q571">
            <v>361</v>
          </cell>
          <cell r="R571">
            <v>308</v>
          </cell>
          <cell r="S571">
            <v>269</v>
          </cell>
          <cell r="T571">
            <v>229</v>
          </cell>
          <cell r="U571">
            <v>159</v>
          </cell>
          <cell r="V571">
            <v>88</v>
          </cell>
          <cell r="W571">
            <v>391</v>
          </cell>
          <cell r="X571">
            <v>361</v>
          </cell>
          <cell r="Y571">
            <v>308</v>
          </cell>
          <cell r="Z571">
            <v>269</v>
          </cell>
          <cell r="AA571">
            <v>229</v>
          </cell>
          <cell r="AB571">
            <v>159</v>
          </cell>
          <cell r="AC571">
            <v>88</v>
          </cell>
        </row>
        <row r="572">
          <cell r="A572" t="str">
            <v>14-16-27</v>
          </cell>
          <cell r="B572">
            <v>797</v>
          </cell>
          <cell r="C572">
            <v>704</v>
          </cell>
          <cell r="D572">
            <v>565</v>
          </cell>
          <cell r="E572">
            <v>480</v>
          </cell>
          <cell r="F572">
            <v>394</v>
          </cell>
          <cell r="G572">
            <v>269</v>
          </cell>
          <cell r="H572">
            <v>144</v>
          </cell>
          <cell r="I572">
            <v>797</v>
          </cell>
          <cell r="J572">
            <v>704</v>
          </cell>
          <cell r="K572">
            <v>565</v>
          </cell>
          <cell r="L572">
            <v>480</v>
          </cell>
          <cell r="M572">
            <v>394</v>
          </cell>
          <cell r="N572">
            <v>269</v>
          </cell>
          <cell r="O572">
            <v>144</v>
          </cell>
          <cell r="P572">
            <v>598</v>
          </cell>
          <cell r="Q572">
            <v>539</v>
          </cell>
          <cell r="R572">
            <v>442</v>
          </cell>
          <cell r="S572">
            <v>381</v>
          </cell>
          <cell r="T572">
            <v>320</v>
          </cell>
          <cell r="U572">
            <v>223</v>
          </cell>
          <cell r="V572">
            <v>125</v>
          </cell>
          <cell r="W572">
            <v>598</v>
          </cell>
          <cell r="X572">
            <v>539</v>
          </cell>
          <cell r="Y572">
            <v>442</v>
          </cell>
          <cell r="Z572">
            <v>381</v>
          </cell>
          <cell r="AA572">
            <v>320</v>
          </cell>
          <cell r="AB572">
            <v>223</v>
          </cell>
          <cell r="AC572">
            <v>125</v>
          </cell>
        </row>
        <row r="573">
          <cell r="A573" t="str">
            <v>14-17-27</v>
          </cell>
          <cell r="B573">
            <v>743</v>
          </cell>
          <cell r="C573">
            <v>660</v>
          </cell>
          <cell r="D573">
            <v>539</v>
          </cell>
          <cell r="E573">
            <v>457</v>
          </cell>
          <cell r="F573">
            <v>374</v>
          </cell>
          <cell r="G573">
            <v>256</v>
          </cell>
          <cell r="H573">
            <v>137</v>
          </cell>
          <cell r="I573">
            <v>743</v>
          </cell>
          <cell r="J573">
            <v>660</v>
          </cell>
          <cell r="K573">
            <v>539</v>
          </cell>
          <cell r="L573">
            <v>457</v>
          </cell>
          <cell r="M573">
            <v>374</v>
          </cell>
          <cell r="N573">
            <v>256</v>
          </cell>
          <cell r="O573">
            <v>137</v>
          </cell>
          <cell r="P573">
            <v>557</v>
          </cell>
          <cell r="Q573">
            <v>505</v>
          </cell>
          <cell r="R573">
            <v>422</v>
          </cell>
          <cell r="S573">
            <v>363</v>
          </cell>
          <cell r="T573">
            <v>304</v>
          </cell>
          <cell r="U573">
            <v>212</v>
          </cell>
          <cell r="V573">
            <v>119</v>
          </cell>
          <cell r="W573">
            <v>557</v>
          </cell>
          <cell r="X573">
            <v>505</v>
          </cell>
          <cell r="Y573">
            <v>422</v>
          </cell>
          <cell r="Z573">
            <v>363</v>
          </cell>
          <cell r="AA573">
            <v>304</v>
          </cell>
          <cell r="AB573">
            <v>212</v>
          </cell>
          <cell r="AC573">
            <v>119</v>
          </cell>
        </row>
        <row r="574">
          <cell r="A574" t="str">
            <v>14-18-27</v>
          </cell>
          <cell r="B574">
            <v>690</v>
          </cell>
          <cell r="C574">
            <v>614</v>
          </cell>
          <cell r="D574">
            <v>505</v>
          </cell>
          <cell r="E574">
            <v>429</v>
          </cell>
          <cell r="F574">
            <v>352</v>
          </cell>
          <cell r="G574">
            <v>241</v>
          </cell>
          <cell r="H574">
            <v>129</v>
          </cell>
          <cell r="I574">
            <v>690</v>
          </cell>
          <cell r="J574">
            <v>614</v>
          </cell>
          <cell r="K574">
            <v>505</v>
          </cell>
          <cell r="L574">
            <v>429</v>
          </cell>
          <cell r="M574">
            <v>352</v>
          </cell>
          <cell r="N574">
            <v>241</v>
          </cell>
          <cell r="O574">
            <v>129</v>
          </cell>
          <cell r="P574">
            <v>517</v>
          </cell>
          <cell r="Q574">
            <v>470</v>
          </cell>
          <cell r="R574">
            <v>395</v>
          </cell>
          <cell r="S574">
            <v>341</v>
          </cell>
          <cell r="T574">
            <v>286</v>
          </cell>
          <cell r="U574">
            <v>199</v>
          </cell>
          <cell r="V574">
            <v>112</v>
          </cell>
          <cell r="W574">
            <v>517</v>
          </cell>
          <cell r="X574">
            <v>470</v>
          </cell>
          <cell r="Y574">
            <v>395</v>
          </cell>
          <cell r="Z574">
            <v>341</v>
          </cell>
          <cell r="AA574">
            <v>286</v>
          </cell>
          <cell r="AB574">
            <v>199</v>
          </cell>
          <cell r="AC574">
            <v>112</v>
          </cell>
        </row>
        <row r="575">
          <cell r="A575" t="str">
            <v>14-19-27</v>
          </cell>
          <cell r="B575">
            <v>636</v>
          </cell>
          <cell r="C575">
            <v>569</v>
          </cell>
          <cell r="D575">
            <v>470</v>
          </cell>
          <cell r="E575">
            <v>403</v>
          </cell>
          <cell r="F575">
            <v>335</v>
          </cell>
          <cell r="G575">
            <v>229</v>
          </cell>
          <cell r="H575">
            <v>123</v>
          </cell>
          <cell r="I575">
            <v>636</v>
          </cell>
          <cell r="J575">
            <v>569</v>
          </cell>
          <cell r="K575">
            <v>470</v>
          </cell>
          <cell r="L575">
            <v>403</v>
          </cell>
          <cell r="M575">
            <v>335</v>
          </cell>
          <cell r="N575">
            <v>229</v>
          </cell>
          <cell r="O575">
            <v>123</v>
          </cell>
          <cell r="P575">
            <v>477</v>
          </cell>
          <cell r="Q575">
            <v>435</v>
          </cell>
          <cell r="R575">
            <v>368</v>
          </cell>
          <cell r="S575">
            <v>320</v>
          </cell>
          <cell r="T575">
            <v>272</v>
          </cell>
          <cell r="U575">
            <v>190</v>
          </cell>
          <cell r="V575">
            <v>107</v>
          </cell>
          <cell r="W575">
            <v>477</v>
          </cell>
          <cell r="X575">
            <v>435</v>
          </cell>
          <cell r="Y575">
            <v>368</v>
          </cell>
          <cell r="Z575">
            <v>320</v>
          </cell>
          <cell r="AA575">
            <v>272</v>
          </cell>
          <cell r="AB575">
            <v>190</v>
          </cell>
          <cell r="AC575">
            <v>107</v>
          </cell>
        </row>
        <row r="576">
          <cell r="A576" t="str">
            <v>14-20-27</v>
          </cell>
          <cell r="B576">
            <v>579</v>
          </cell>
          <cell r="C576">
            <v>521</v>
          </cell>
          <cell r="D576">
            <v>433</v>
          </cell>
          <cell r="E576">
            <v>372</v>
          </cell>
          <cell r="F576">
            <v>310</v>
          </cell>
          <cell r="G576">
            <v>212</v>
          </cell>
          <cell r="H576">
            <v>113</v>
          </cell>
          <cell r="I576">
            <v>579</v>
          </cell>
          <cell r="J576">
            <v>521</v>
          </cell>
          <cell r="K576">
            <v>433</v>
          </cell>
          <cell r="L576">
            <v>372</v>
          </cell>
          <cell r="M576">
            <v>310</v>
          </cell>
          <cell r="N576">
            <v>212</v>
          </cell>
          <cell r="O576">
            <v>113</v>
          </cell>
          <cell r="P576">
            <v>434</v>
          </cell>
          <cell r="Q576">
            <v>399</v>
          </cell>
          <cell r="R576">
            <v>339</v>
          </cell>
          <cell r="S576">
            <v>296</v>
          </cell>
          <cell r="T576">
            <v>252</v>
          </cell>
          <cell r="U576">
            <v>176</v>
          </cell>
          <cell r="V576">
            <v>99</v>
          </cell>
          <cell r="W576">
            <v>434</v>
          </cell>
          <cell r="X576">
            <v>399</v>
          </cell>
          <cell r="Y576">
            <v>339</v>
          </cell>
          <cell r="Z576">
            <v>296</v>
          </cell>
          <cell r="AA576">
            <v>252</v>
          </cell>
          <cell r="AB576">
            <v>176</v>
          </cell>
          <cell r="AC576">
            <v>99</v>
          </cell>
        </row>
        <row r="577">
          <cell r="A577" t="str">
            <v>14-21-27</v>
          </cell>
          <cell r="B577">
            <v>517</v>
          </cell>
          <cell r="C577">
            <v>467</v>
          </cell>
          <cell r="D577">
            <v>389</v>
          </cell>
          <cell r="E577">
            <v>335</v>
          </cell>
          <cell r="F577">
            <v>280</v>
          </cell>
          <cell r="G577">
            <v>191</v>
          </cell>
          <cell r="H577">
            <v>102</v>
          </cell>
          <cell r="I577">
            <v>517</v>
          </cell>
          <cell r="J577">
            <v>467</v>
          </cell>
          <cell r="K577">
            <v>389</v>
          </cell>
          <cell r="L577">
            <v>335</v>
          </cell>
          <cell r="M577">
            <v>280</v>
          </cell>
          <cell r="N577">
            <v>191</v>
          </cell>
          <cell r="O577">
            <v>102</v>
          </cell>
          <cell r="P577">
            <v>388</v>
          </cell>
          <cell r="Q577">
            <v>358</v>
          </cell>
          <cell r="R577">
            <v>305</v>
          </cell>
          <cell r="S577">
            <v>266</v>
          </cell>
          <cell r="T577">
            <v>227</v>
          </cell>
          <cell r="U577">
            <v>158</v>
          </cell>
          <cell r="V577">
            <v>88</v>
          </cell>
          <cell r="W577">
            <v>388</v>
          </cell>
          <cell r="X577">
            <v>358</v>
          </cell>
          <cell r="Y577">
            <v>305</v>
          </cell>
          <cell r="Z577">
            <v>266</v>
          </cell>
          <cell r="AA577">
            <v>227</v>
          </cell>
          <cell r="AB577">
            <v>158</v>
          </cell>
          <cell r="AC577">
            <v>88</v>
          </cell>
        </row>
        <row r="578">
          <cell r="A578" t="str">
            <v>15-17-27</v>
          </cell>
          <cell r="B578">
            <v>735</v>
          </cell>
          <cell r="C578">
            <v>651</v>
          </cell>
          <cell r="D578">
            <v>532</v>
          </cell>
          <cell r="E578">
            <v>451</v>
          </cell>
          <cell r="F578">
            <v>369</v>
          </cell>
          <cell r="G578">
            <v>252</v>
          </cell>
          <cell r="H578">
            <v>134</v>
          </cell>
          <cell r="I578">
            <v>735</v>
          </cell>
          <cell r="J578">
            <v>651</v>
          </cell>
          <cell r="K578">
            <v>532</v>
          </cell>
          <cell r="L578">
            <v>451</v>
          </cell>
          <cell r="M578">
            <v>369</v>
          </cell>
          <cell r="N578">
            <v>252</v>
          </cell>
          <cell r="O578">
            <v>134</v>
          </cell>
          <cell r="P578">
            <v>551</v>
          </cell>
          <cell r="Q578">
            <v>498</v>
          </cell>
          <cell r="R578">
            <v>416</v>
          </cell>
          <cell r="S578">
            <v>358</v>
          </cell>
          <cell r="T578">
            <v>299</v>
          </cell>
          <cell r="U578">
            <v>208</v>
          </cell>
          <cell r="V578">
            <v>117</v>
          </cell>
          <cell r="W578">
            <v>551</v>
          </cell>
          <cell r="X578">
            <v>498</v>
          </cell>
          <cell r="Y578">
            <v>416</v>
          </cell>
          <cell r="Z578">
            <v>358</v>
          </cell>
          <cell r="AA578">
            <v>299</v>
          </cell>
          <cell r="AB578">
            <v>208</v>
          </cell>
          <cell r="AC578">
            <v>117</v>
          </cell>
        </row>
        <row r="579">
          <cell r="A579" t="str">
            <v>15-18-27</v>
          </cell>
          <cell r="B579">
            <v>680</v>
          </cell>
          <cell r="C579">
            <v>606</v>
          </cell>
          <cell r="D579">
            <v>498</v>
          </cell>
          <cell r="E579">
            <v>423</v>
          </cell>
          <cell r="F579">
            <v>347</v>
          </cell>
          <cell r="G579">
            <v>237</v>
          </cell>
          <cell r="H579">
            <v>126</v>
          </cell>
          <cell r="I579">
            <v>680</v>
          </cell>
          <cell r="J579">
            <v>606</v>
          </cell>
          <cell r="K579">
            <v>498</v>
          </cell>
          <cell r="L579">
            <v>423</v>
          </cell>
          <cell r="M579">
            <v>347</v>
          </cell>
          <cell r="N579">
            <v>237</v>
          </cell>
          <cell r="O579">
            <v>126</v>
          </cell>
          <cell r="P579">
            <v>510</v>
          </cell>
          <cell r="Q579">
            <v>464</v>
          </cell>
          <cell r="R579">
            <v>390</v>
          </cell>
          <cell r="S579">
            <v>336</v>
          </cell>
          <cell r="T579">
            <v>282</v>
          </cell>
          <cell r="U579">
            <v>196</v>
          </cell>
          <cell r="V579">
            <v>110</v>
          </cell>
          <cell r="W579">
            <v>510</v>
          </cell>
          <cell r="X579">
            <v>464</v>
          </cell>
          <cell r="Y579">
            <v>390</v>
          </cell>
          <cell r="Z579">
            <v>336</v>
          </cell>
          <cell r="AA579">
            <v>282</v>
          </cell>
          <cell r="AB579">
            <v>196</v>
          </cell>
          <cell r="AC579">
            <v>110</v>
          </cell>
        </row>
        <row r="580">
          <cell r="A580" t="str">
            <v>15-19-27</v>
          </cell>
          <cell r="B580">
            <v>627</v>
          </cell>
          <cell r="C580">
            <v>561</v>
          </cell>
          <cell r="D580">
            <v>463</v>
          </cell>
          <cell r="E580">
            <v>397</v>
          </cell>
          <cell r="F580">
            <v>330</v>
          </cell>
          <cell r="G580">
            <v>226</v>
          </cell>
          <cell r="H580">
            <v>121</v>
          </cell>
          <cell r="I580">
            <v>627</v>
          </cell>
          <cell r="J580">
            <v>561</v>
          </cell>
          <cell r="K580">
            <v>463</v>
          </cell>
          <cell r="L580">
            <v>397</v>
          </cell>
          <cell r="M580">
            <v>330</v>
          </cell>
          <cell r="N580">
            <v>226</v>
          </cell>
          <cell r="O580">
            <v>121</v>
          </cell>
          <cell r="P580">
            <v>470</v>
          </cell>
          <cell r="Q580">
            <v>429</v>
          </cell>
          <cell r="R580">
            <v>362</v>
          </cell>
          <cell r="S580">
            <v>315</v>
          </cell>
          <cell r="T580">
            <v>268</v>
          </cell>
          <cell r="U580">
            <v>187</v>
          </cell>
          <cell r="V580">
            <v>105</v>
          </cell>
          <cell r="W580">
            <v>470</v>
          </cell>
          <cell r="X580">
            <v>429</v>
          </cell>
          <cell r="Y580">
            <v>362</v>
          </cell>
          <cell r="Z580">
            <v>315</v>
          </cell>
          <cell r="AA580">
            <v>268</v>
          </cell>
          <cell r="AB580">
            <v>187</v>
          </cell>
          <cell r="AC580">
            <v>105</v>
          </cell>
        </row>
        <row r="581">
          <cell r="A581" t="str">
            <v>15-20-27</v>
          </cell>
          <cell r="B581">
            <v>570</v>
          </cell>
          <cell r="C581">
            <v>513</v>
          </cell>
          <cell r="D581">
            <v>426</v>
          </cell>
          <cell r="E581">
            <v>366</v>
          </cell>
          <cell r="F581">
            <v>306</v>
          </cell>
          <cell r="G581">
            <v>209</v>
          </cell>
          <cell r="H581">
            <v>112</v>
          </cell>
          <cell r="I581">
            <v>570</v>
          </cell>
          <cell r="J581">
            <v>513</v>
          </cell>
          <cell r="K581">
            <v>426</v>
          </cell>
          <cell r="L581">
            <v>366</v>
          </cell>
          <cell r="M581">
            <v>306</v>
          </cell>
          <cell r="N581">
            <v>209</v>
          </cell>
          <cell r="O581">
            <v>112</v>
          </cell>
          <cell r="P581">
            <v>428</v>
          </cell>
          <cell r="Q581">
            <v>392</v>
          </cell>
          <cell r="R581">
            <v>333</v>
          </cell>
          <cell r="S581">
            <v>291</v>
          </cell>
          <cell r="T581">
            <v>248</v>
          </cell>
          <cell r="U581">
            <v>173</v>
          </cell>
          <cell r="V581">
            <v>98</v>
          </cell>
          <cell r="W581">
            <v>428</v>
          </cell>
          <cell r="X581">
            <v>392</v>
          </cell>
          <cell r="Y581">
            <v>333</v>
          </cell>
          <cell r="Z581">
            <v>291</v>
          </cell>
          <cell r="AA581">
            <v>248</v>
          </cell>
          <cell r="AB581">
            <v>173</v>
          </cell>
          <cell r="AC581">
            <v>98</v>
          </cell>
        </row>
        <row r="582">
          <cell r="A582" t="str">
            <v>15-21-27</v>
          </cell>
          <cell r="B582">
            <v>511</v>
          </cell>
          <cell r="C582">
            <v>461</v>
          </cell>
          <cell r="D582">
            <v>386</v>
          </cell>
          <cell r="E582">
            <v>332</v>
          </cell>
          <cell r="F582">
            <v>278</v>
          </cell>
          <cell r="G582">
            <v>190</v>
          </cell>
          <cell r="H582">
            <v>102</v>
          </cell>
          <cell r="I582">
            <v>511</v>
          </cell>
          <cell r="J582">
            <v>461</v>
          </cell>
          <cell r="K582">
            <v>386</v>
          </cell>
          <cell r="L582">
            <v>332</v>
          </cell>
          <cell r="M582">
            <v>278</v>
          </cell>
          <cell r="N582">
            <v>190</v>
          </cell>
          <cell r="O582">
            <v>102</v>
          </cell>
          <cell r="P582">
            <v>383</v>
          </cell>
          <cell r="Q582">
            <v>353</v>
          </cell>
          <cell r="R582">
            <v>302</v>
          </cell>
          <cell r="S582">
            <v>264</v>
          </cell>
          <cell r="T582">
            <v>226</v>
          </cell>
          <cell r="U582">
            <v>157</v>
          </cell>
          <cell r="V582">
            <v>88</v>
          </cell>
          <cell r="W582">
            <v>383</v>
          </cell>
          <cell r="X582">
            <v>353</v>
          </cell>
          <cell r="Y582">
            <v>302</v>
          </cell>
          <cell r="Z582">
            <v>264</v>
          </cell>
          <cell r="AA582">
            <v>226</v>
          </cell>
          <cell r="AB582">
            <v>157</v>
          </cell>
          <cell r="AC582">
            <v>88</v>
          </cell>
        </row>
        <row r="583">
          <cell r="A583" t="str">
            <v>15-22-27</v>
          </cell>
          <cell r="B583">
            <v>446</v>
          </cell>
          <cell r="C583">
            <v>406</v>
          </cell>
          <cell r="D583">
            <v>341</v>
          </cell>
          <cell r="E583">
            <v>294</v>
          </cell>
          <cell r="F583">
            <v>247</v>
          </cell>
          <cell r="G583">
            <v>169</v>
          </cell>
          <cell r="H583">
            <v>90</v>
          </cell>
          <cell r="I583">
            <v>446</v>
          </cell>
          <cell r="J583">
            <v>406</v>
          </cell>
          <cell r="K583">
            <v>341</v>
          </cell>
          <cell r="L583">
            <v>294</v>
          </cell>
          <cell r="M583">
            <v>247</v>
          </cell>
          <cell r="N583">
            <v>169</v>
          </cell>
          <cell r="O583">
            <v>90</v>
          </cell>
          <cell r="P583">
            <v>334</v>
          </cell>
          <cell r="Q583">
            <v>311</v>
          </cell>
          <cell r="R583">
            <v>267</v>
          </cell>
          <cell r="S583">
            <v>234</v>
          </cell>
          <cell r="T583">
            <v>201</v>
          </cell>
          <cell r="U583">
            <v>140</v>
          </cell>
          <cell r="V583">
            <v>78</v>
          </cell>
          <cell r="W583">
            <v>334</v>
          </cell>
          <cell r="X583">
            <v>311</v>
          </cell>
          <cell r="Y583">
            <v>267</v>
          </cell>
          <cell r="Z583">
            <v>234</v>
          </cell>
          <cell r="AA583">
            <v>201</v>
          </cell>
          <cell r="AB583">
            <v>140</v>
          </cell>
          <cell r="AC583">
            <v>78</v>
          </cell>
        </row>
        <row r="584">
          <cell r="A584" t="str">
            <v>16-18-27</v>
          </cell>
          <cell r="B584">
            <v>672</v>
          </cell>
          <cell r="C584">
            <v>597</v>
          </cell>
          <cell r="D584">
            <v>489</v>
          </cell>
          <cell r="E584">
            <v>415</v>
          </cell>
          <cell r="F584">
            <v>341</v>
          </cell>
          <cell r="G584">
            <v>233</v>
          </cell>
          <cell r="H584">
            <v>125</v>
          </cell>
          <cell r="I584">
            <v>672</v>
          </cell>
          <cell r="J584">
            <v>597</v>
          </cell>
          <cell r="K584">
            <v>489</v>
          </cell>
          <cell r="L584">
            <v>415</v>
          </cell>
          <cell r="M584">
            <v>341</v>
          </cell>
          <cell r="N584">
            <v>233</v>
          </cell>
          <cell r="O584">
            <v>125</v>
          </cell>
          <cell r="P584">
            <v>504</v>
          </cell>
          <cell r="Q584">
            <v>457</v>
          </cell>
          <cell r="R584">
            <v>383</v>
          </cell>
          <cell r="S584">
            <v>330</v>
          </cell>
          <cell r="T584">
            <v>277</v>
          </cell>
          <cell r="U584">
            <v>193</v>
          </cell>
          <cell r="V584">
            <v>109</v>
          </cell>
          <cell r="W584">
            <v>504</v>
          </cell>
          <cell r="X584">
            <v>457</v>
          </cell>
          <cell r="Y584">
            <v>383</v>
          </cell>
          <cell r="Z584">
            <v>330</v>
          </cell>
          <cell r="AA584">
            <v>277</v>
          </cell>
          <cell r="AB584">
            <v>193</v>
          </cell>
          <cell r="AC584">
            <v>109</v>
          </cell>
        </row>
        <row r="585">
          <cell r="A585" t="str">
            <v>16-19-27</v>
          </cell>
          <cell r="B585">
            <v>617</v>
          </cell>
          <cell r="C585">
            <v>551</v>
          </cell>
          <cell r="D585">
            <v>454</v>
          </cell>
          <cell r="E585">
            <v>389</v>
          </cell>
          <cell r="F585">
            <v>324</v>
          </cell>
          <cell r="G585">
            <v>222</v>
          </cell>
          <cell r="H585">
            <v>119</v>
          </cell>
          <cell r="I585">
            <v>617</v>
          </cell>
          <cell r="J585">
            <v>551</v>
          </cell>
          <cell r="K585">
            <v>454</v>
          </cell>
          <cell r="L585">
            <v>389</v>
          </cell>
          <cell r="M585">
            <v>324</v>
          </cell>
          <cell r="N585">
            <v>222</v>
          </cell>
          <cell r="O585">
            <v>119</v>
          </cell>
          <cell r="P585">
            <v>462</v>
          </cell>
          <cell r="Q585">
            <v>422</v>
          </cell>
          <cell r="R585">
            <v>355</v>
          </cell>
          <cell r="S585">
            <v>309</v>
          </cell>
          <cell r="T585">
            <v>263</v>
          </cell>
          <cell r="U585">
            <v>184</v>
          </cell>
          <cell r="V585">
            <v>104</v>
          </cell>
          <cell r="W585">
            <v>462</v>
          </cell>
          <cell r="X585">
            <v>422</v>
          </cell>
          <cell r="Y585">
            <v>355</v>
          </cell>
          <cell r="Z585">
            <v>309</v>
          </cell>
          <cell r="AA585">
            <v>263</v>
          </cell>
          <cell r="AB585">
            <v>184</v>
          </cell>
          <cell r="AC585">
            <v>104</v>
          </cell>
        </row>
        <row r="586">
          <cell r="A586" t="str">
            <v>16-20-27</v>
          </cell>
          <cell r="B586">
            <v>562</v>
          </cell>
          <cell r="C586">
            <v>504</v>
          </cell>
          <cell r="D586">
            <v>419</v>
          </cell>
          <cell r="E586">
            <v>360</v>
          </cell>
          <cell r="F586">
            <v>300</v>
          </cell>
          <cell r="G586">
            <v>206</v>
          </cell>
          <cell r="H586">
            <v>111</v>
          </cell>
          <cell r="I586">
            <v>562</v>
          </cell>
          <cell r="J586">
            <v>504</v>
          </cell>
          <cell r="K586">
            <v>419</v>
          </cell>
          <cell r="L586">
            <v>360</v>
          </cell>
          <cell r="M586">
            <v>300</v>
          </cell>
          <cell r="N586">
            <v>206</v>
          </cell>
          <cell r="O586">
            <v>111</v>
          </cell>
          <cell r="P586">
            <v>421</v>
          </cell>
          <cell r="Q586">
            <v>385</v>
          </cell>
          <cell r="R586">
            <v>328</v>
          </cell>
          <cell r="S586">
            <v>286</v>
          </cell>
          <cell r="T586">
            <v>243</v>
          </cell>
          <cell r="U586">
            <v>170</v>
          </cell>
          <cell r="V586">
            <v>96</v>
          </cell>
          <cell r="W586">
            <v>421</v>
          </cell>
          <cell r="X586">
            <v>385</v>
          </cell>
          <cell r="Y586">
            <v>328</v>
          </cell>
          <cell r="Z586">
            <v>286</v>
          </cell>
          <cell r="AA586">
            <v>243</v>
          </cell>
          <cell r="AB586">
            <v>170</v>
          </cell>
          <cell r="AC586">
            <v>96</v>
          </cell>
        </row>
        <row r="587">
          <cell r="A587" t="str">
            <v>16-21-27</v>
          </cell>
          <cell r="B587">
            <v>505</v>
          </cell>
          <cell r="C587">
            <v>456</v>
          </cell>
          <cell r="D587">
            <v>380</v>
          </cell>
          <cell r="E587">
            <v>328</v>
          </cell>
          <cell r="F587">
            <v>275</v>
          </cell>
          <cell r="G587">
            <v>189</v>
          </cell>
          <cell r="H587">
            <v>102</v>
          </cell>
          <cell r="I587">
            <v>505</v>
          </cell>
          <cell r="J587">
            <v>456</v>
          </cell>
          <cell r="K587">
            <v>380</v>
          </cell>
          <cell r="L587">
            <v>328</v>
          </cell>
          <cell r="M587">
            <v>275</v>
          </cell>
          <cell r="N587">
            <v>189</v>
          </cell>
          <cell r="O587">
            <v>102</v>
          </cell>
          <cell r="P587">
            <v>378</v>
          </cell>
          <cell r="Q587">
            <v>349</v>
          </cell>
          <cell r="R587">
            <v>297</v>
          </cell>
          <cell r="S587">
            <v>260</v>
          </cell>
          <cell r="T587">
            <v>223</v>
          </cell>
          <cell r="U587">
            <v>156</v>
          </cell>
          <cell r="V587">
            <v>88</v>
          </cell>
          <cell r="W587">
            <v>378</v>
          </cell>
          <cell r="X587">
            <v>349</v>
          </cell>
          <cell r="Y587">
            <v>297</v>
          </cell>
          <cell r="Z587">
            <v>260</v>
          </cell>
          <cell r="AA587">
            <v>223</v>
          </cell>
          <cell r="AB587">
            <v>156</v>
          </cell>
          <cell r="AC587">
            <v>88</v>
          </cell>
        </row>
        <row r="588">
          <cell r="A588" t="str">
            <v>16-22-27</v>
          </cell>
          <cell r="B588">
            <v>441</v>
          </cell>
          <cell r="C588">
            <v>400</v>
          </cell>
          <cell r="D588">
            <v>336</v>
          </cell>
          <cell r="E588">
            <v>290</v>
          </cell>
          <cell r="F588">
            <v>244</v>
          </cell>
          <cell r="G588">
            <v>167</v>
          </cell>
          <cell r="H588">
            <v>90</v>
          </cell>
          <cell r="I588">
            <v>441</v>
          </cell>
          <cell r="J588">
            <v>400</v>
          </cell>
          <cell r="K588">
            <v>336</v>
          </cell>
          <cell r="L588">
            <v>290</v>
          </cell>
          <cell r="M588">
            <v>244</v>
          </cell>
          <cell r="N588">
            <v>167</v>
          </cell>
          <cell r="O588">
            <v>90</v>
          </cell>
          <cell r="P588">
            <v>330</v>
          </cell>
          <cell r="Q588">
            <v>306</v>
          </cell>
          <cell r="R588">
            <v>263</v>
          </cell>
          <cell r="S588">
            <v>231</v>
          </cell>
          <cell r="T588">
            <v>199</v>
          </cell>
          <cell r="U588">
            <v>139</v>
          </cell>
          <cell r="V588">
            <v>78</v>
          </cell>
          <cell r="W588">
            <v>330</v>
          </cell>
          <cell r="X588">
            <v>306</v>
          </cell>
          <cell r="Y588">
            <v>263</v>
          </cell>
          <cell r="Z588">
            <v>231</v>
          </cell>
          <cell r="AA588">
            <v>199</v>
          </cell>
          <cell r="AB588">
            <v>139</v>
          </cell>
          <cell r="AC588">
            <v>78</v>
          </cell>
        </row>
        <row r="589">
          <cell r="A589" t="str">
            <v>17-19-27</v>
          </cell>
          <cell r="B589">
            <v>607</v>
          </cell>
          <cell r="C589">
            <v>541</v>
          </cell>
          <cell r="D589">
            <v>447</v>
          </cell>
          <cell r="E589">
            <v>382</v>
          </cell>
          <cell r="F589">
            <v>317</v>
          </cell>
          <cell r="G589">
            <v>217</v>
          </cell>
          <cell r="H589">
            <v>117</v>
          </cell>
          <cell r="I589">
            <v>607</v>
          </cell>
          <cell r="J589">
            <v>541</v>
          </cell>
          <cell r="K589">
            <v>447</v>
          </cell>
          <cell r="L589">
            <v>382</v>
          </cell>
          <cell r="M589">
            <v>317</v>
          </cell>
          <cell r="N589">
            <v>217</v>
          </cell>
          <cell r="O589">
            <v>117</v>
          </cell>
          <cell r="P589">
            <v>455</v>
          </cell>
          <cell r="Q589">
            <v>414</v>
          </cell>
          <cell r="R589">
            <v>350</v>
          </cell>
          <cell r="S589">
            <v>304</v>
          </cell>
          <cell r="T589">
            <v>258</v>
          </cell>
          <cell r="U589">
            <v>180</v>
          </cell>
          <cell r="V589">
            <v>102</v>
          </cell>
          <cell r="W589">
            <v>455</v>
          </cell>
          <cell r="X589">
            <v>414</v>
          </cell>
          <cell r="Y589">
            <v>350</v>
          </cell>
          <cell r="Z589">
            <v>304</v>
          </cell>
          <cell r="AA589">
            <v>258</v>
          </cell>
          <cell r="AB589">
            <v>180</v>
          </cell>
          <cell r="AC589">
            <v>102</v>
          </cell>
        </row>
        <row r="590">
          <cell r="A590" t="str">
            <v>17-20-27</v>
          </cell>
          <cell r="B590">
            <v>551</v>
          </cell>
          <cell r="C590">
            <v>495</v>
          </cell>
          <cell r="D590">
            <v>410</v>
          </cell>
          <cell r="E590">
            <v>352</v>
          </cell>
          <cell r="F590">
            <v>293</v>
          </cell>
          <cell r="G590">
            <v>201</v>
          </cell>
          <cell r="H590">
            <v>108</v>
          </cell>
          <cell r="I590">
            <v>551</v>
          </cell>
          <cell r="J590">
            <v>495</v>
          </cell>
          <cell r="K590">
            <v>410</v>
          </cell>
          <cell r="L590">
            <v>352</v>
          </cell>
          <cell r="M590">
            <v>293</v>
          </cell>
          <cell r="N590">
            <v>201</v>
          </cell>
          <cell r="O590">
            <v>108</v>
          </cell>
          <cell r="P590">
            <v>413</v>
          </cell>
          <cell r="Q590">
            <v>378</v>
          </cell>
          <cell r="R590">
            <v>321</v>
          </cell>
          <cell r="S590">
            <v>280</v>
          </cell>
          <cell r="T590">
            <v>238</v>
          </cell>
          <cell r="U590">
            <v>166</v>
          </cell>
          <cell r="V590">
            <v>94</v>
          </cell>
          <cell r="W590">
            <v>413</v>
          </cell>
          <cell r="X590">
            <v>378</v>
          </cell>
          <cell r="Y590">
            <v>321</v>
          </cell>
          <cell r="Z590">
            <v>280</v>
          </cell>
          <cell r="AA590">
            <v>238</v>
          </cell>
          <cell r="AB590">
            <v>166</v>
          </cell>
          <cell r="AC590">
            <v>94</v>
          </cell>
        </row>
        <row r="591">
          <cell r="A591" t="str">
            <v>17-21-27</v>
          </cell>
          <cell r="B591">
            <v>495</v>
          </cell>
          <cell r="C591">
            <v>447</v>
          </cell>
          <cell r="D591">
            <v>372</v>
          </cell>
          <cell r="E591">
            <v>321</v>
          </cell>
          <cell r="F591">
            <v>269</v>
          </cell>
          <cell r="G591">
            <v>185</v>
          </cell>
          <cell r="H591">
            <v>100</v>
          </cell>
          <cell r="I591">
            <v>495</v>
          </cell>
          <cell r="J591">
            <v>447</v>
          </cell>
          <cell r="K591">
            <v>372</v>
          </cell>
          <cell r="L591">
            <v>321</v>
          </cell>
          <cell r="M591">
            <v>269</v>
          </cell>
          <cell r="N591">
            <v>185</v>
          </cell>
          <cell r="O591">
            <v>100</v>
          </cell>
          <cell r="P591">
            <v>371</v>
          </cell>
          <cell r="Q591">
            <v>342</v>
          </cell>
          <cell r="R591">
            <v>291</v>
          </cell>
          <cell r="S591">
            <v>255</v>
          </cell>
          <cell r="T591">
            <v>219</v>
          </cell>
          <cell r="U591">
            <v>153</v>
          </cell>
          <cell r="V591">
            <v>87</v>
          </cell>
          <cell r="W591">
            <v>371</v>
          </cell>
          <cell r="X591">
            <v>342</v>
          </cell>
          <cell r="Y591">
            <v>291</v>
          </cell>
          <cell r="Z591">
            <v>255</v>
          </cell>
          <cell r="AA591">
            <v>219</v>
          </cell>
          <cell r="AB591">
            <v>153</v>
          </cell>
          <cell r="AC591">
            <v>87</v>
          </cell>
        </row>
        <row r="592">
          <cell r="A592" t="str">
            <v>17-22-27</v>
          </cell>
          <cell r="B592">
            <v>435</v>
          </cell>
          <cell r="C592">
            <v>395</v>
          </cell>
          <cell r="D592">
            <v>331</v>
          </cell>
          <cell r="E592">
            <v>287</v>
          </cell>
          <cell r="F592">
            <v>242</v>
          </cell>
          <cell r="G592">
            <v>166</v>
          </cell>
          <cell r="H592">
            <v>90</v>
          </cell>
          <cell r="I592">
            <v>435</v>
          </cell>
          <cell r="J592">
            <v>395</v>
          </cell>
          <cell r="K592">
            <v>331</v>
          </cell>
          <cell r="L592">
            <v>287</v>
          </cell>
          <cell r="M592">
            <v>242</v>
          </cell>
          <cell r="N592">
            <v>166</v>
          </cell>
          <cell r="O592">
            <v>90</v>
          </cell>
          <cell r="P592">
            <v>326</v>
          </cell>
          <cell r="Q592">
            <v>302</v>
          </cell>
          <cell r="R592">
            <v>259</v>
          </cell>
          <cell r="S592">
            <v>228</v>
          </cell>
          <cell r="T592">
            <v>197</v>
          </cell>
          <cell r="U592">
            <v>138</v>
          </cell>
          <cell r="V592">
            <v>78</v>
          </cell>
          <cell r="W592">
            <v>326</v>
          </cell>
          <cell r="X592">
            <v>302</v>
          </cell>
          <cell r="Y592">
            <v>259</v>
          </cell>
          <cell r="Z592">
            <v>228</v>
          </cell>
          <cell r="AA592">
            <v>197</v>
          </cell>
          <cell r="AB592">
            <v>138</v>
          </cell>
          <cell r="AC592">
            <v>78</v>
          </cell>
        </row>
        <row r="593">
          <cell r="A593" t="str">
            <v>18-20-27</v>
          </cell>
          <cell r="B593">
            <v>541</v>
          </cell>
          <cell r="C593">
            <v>485</v>
          </cell>
          <cell r="D593">
            <v>402</v>
          </cell>
          <cell r="E593">
            <v>345</v>
          </cell>
          <cell r="F593">
            <v>287</v>
          </cell>
          <cell r="G593">
            <v>197</v>
          </cell>
          <cell r="H593">
            <v>106</v>
          </cell>
          <cell r="I593">
            <v>541</v>
          </cell>
          <cell r="J593">
            <v>485</v>
          </cell>
          <cell r="K593">
            <v>402</v>
          </cell>
          <cell r="L593">
            <v>345</v>
          </cell>
          <cell r="M593">
            <v>287</v>
          </cell>
          <cell r="N593">
            <v>197</v>
          </cell>
          <cell r="O593">
            <v>106</v>
          </cell>
          <cell r="P593">
            <v>405</v>
          </cell>
          <cell r="Q593">
            <v>371</v>
          </cell>
          <cell r="R593">
            <v>314</v>
          </cell>
          <cell r="S593">
            <v>274</v>
          </cell>
          <cell r="T593">
            <v>233</v>
          </cell>
          <cell r="U593">
            <v>163</v>
          </cell>
          <cell r="V593">
            <v>92</v>
          </cell>
          <cell r="W593">
            <v>405</v>
          </cell>
          <cell r="X593">
            <v>371</v>
          </cell>
          <cell r="Y593">
            <v>314</v>
          </cell>
          <cell r="Z593">
            <v>274</v>
          </cell>
          <cell r="AA593">
            <v>233</v>
          </cell>
          <cell r="AB593">
            <v>163</v>
          </cell>
          <cell r="AC593">
            <v>92</v>
          </cell>
        </row>
        <row r="594">
          <cell r="A594" t="str">
            <v>18-21-27</v>
          </cell>
          <cell r="B594">
            <v>484</v>
          </cell>
          <cell r="C594">
            <v>436</v>
          </cell>
          <cell r="D594">
            <v>364</v>
          </cell>
          <cell r="E594">
            <v>314</v>
          </cell>
          <cell r="F594">
            <v>263</v>
          </cell>
          <cell r="G594">
            <v>180</v>
          </cell>
          <cell r="H594">
            <v>97</v>
          </cell>
          <cell r="I594">
            <v>484</v>
          </cell>
          <cell r="J594">
            <v>436</v>
          </cell>
          <cell r="K594">
            <v>364</v>
          </cell>
          <cell r="L594">
            <v>314</v>
          </cell>
          <cell r="M594">
            <v>263</v>
          </cell>
          <cell r="N594">
            <v>180</v>
          </cell>
          <cell r="O594">
            <v>97</v>
          </cell>
          <cell r="P594">
            <v>363</v>
          </cell>
          <cell r="Q594">
            <v>334</v>
          </cell>
          <cell r="R594">
            <v>285</v>
          </cell>
          <cell r="S594">
            <v>250</v>
          </cell>
          <cell r="T594">
            <v>214</v>
          </cell>
          <cell r="U594">
            <v>150</v>
          </cell>
          <cell r="V594">
            <v>85</v>
          </cell>
          <cell r="W594">
            <v>363</v>
          </cell>
          <cell r="X594">
            <v>334</v>
          </cell>
          <cell r="Y594">
            <v>285</v>
          </cell>
          <cell r="Z594">
            <v>250</v>
          </cell>
          <cell r="AA594">
            <v>214</v>
          </cell>
          <cell r="AB594">
            <v>150</v>
          </cell>
          <cell r="AC594">
            <v>85</v>
          </cell>
        </row>
        <row r="595">
          <cell r="A595" t="str">
            <v>18-22-27</v>
          </cell>
          <cell r="B595">
            <v>426</v>
          </cell>
          <cell r="C595">
            <v>386</v>
          </cell>
          <cell r="D595">
            <v>325</v>
          </cell>
          <cell r="E595">
            <v>281</v>
          </cell>
          <cell r="F595">
            <v>237</v>
          </cell>
          <cell r="G595">
            <v>163</v>
          </cell>
          <cell r="H595">
            <v>89</v>
          </cell>
          <cell r="I595">
            <v>426</v>
          </cell>
          <cell r="J595">
            <v>386</v>
          </cell>
          <cell r="K595">
            <v>325</v>
          </cell>
          <cell r="L595">
            <v>281</v>
          </cell>
          <cell r="M595">
            <v>237</v>
          </cell>
          <cell r="N595">
            <v>163</v>
          </cell>
          <cell r="O595">
            <v>89</v>
          </cell>
          <cell r="P595">
            <v>319</v>
          </cell>
          <cell r="Q595">
            <v>295</v>
          </cell>
          <cell r="R595">
            <v>254</v>
          </cell>
          <cell r="S595">
            <v>224</v>
          </cell>
          <cell r="T595">
            <v>193</v>
          </cell>
          <cell r="U595">
            <v>136</v>
          </cell>
          <cell r="V595">
            <v>78</v>
          </cell>
          <cell r="W595">
            <v>319</v>
          </cell>
          <cell r="X595">
            <v>295</v>
          </cell>
          <cell r="Y595">
            <v>254</v>
          </cell>
          <cell r="Z595">
            <v>224</v>
          </cell>
          <cell r="AA595">
            <v>193</v>
          </cell>
          <cell r="AB595">
            <v>136</v>
          </cell>
          <cell r="AC595">
            <v>78</v>
          </cell>
        </row>
        <row r="596">
          <cell r="A596" t="str">
            <v>19-21-27</v>
          </cell>
          <cell r="B596">
            <v>473</v>
          </cell>
          <cell r="C596">
            <v>426</v>
          </cell>
          <cell r="D596">
            <v>354</v>
          </cell>
          <cell r="E596">
            <v>305</v>
          </cell>
          <cell r="F596">
            <v>256</v>
          </cell>
          <cell r="G596">
            <v>176</v>
          </cell>
          <cell r="H596">
            <v>95</v>
          </cell>
          <cell r="I596">
            <v>473</v>
          </cell>
          <cell r="J596">
            <v>426</v>
          </cell>
          <cell r="K596">
            <v>354</v>
          </cell>
          <cell r="L596">
            <v>305</v>
          </cell>
          <cell r="M596">
            <v>256</v>
          </cell>
          <cell r="N596">
            <v>176</v>
          </cell>
          <cell r="O596">
            <v>95</v>
          </cell>
          <cell r="P596">
            <v>355</v>
          </cell>
          <cell r="Q596">
            <v>326</v>
          </cell>
          <cell r="R596">
            <v>277</v>
          </cell>
          <cell r="S596">
            <v>243</v>
          </cell>
          <cell r="T596">
            <v>208</v>
          </cell>
          <cell r="U596">
            <v>146</v>
          </cell>
          <cell r="V596">
            <v>83</v>
          </cell>
          <cell r="W596">
            <v>355</v>
          </cell>
          <cell r="X596">
            <v>326</v>
          </cell>
          <cell r="Y596">
            <v>277</v>
          </cell>
          <cell r="Z596">
            <v>243</v>
          </cell>
          <cell r="AA596">
            <v>208</v>
          </cell>
          <cell r="AB596">
            <v>146</v>
          </cell>
          <cell r="AC596">
            <v>83</v>
          </cell>
        </row>
        <row r="597">
          <cell r="A597" t="str">
            <v>19-22-27</v>
          </cell>
          <cell r="B597">
            <v>415</v>
          </cell>
          <cell r="C597">
            <v>376</v>
          </cell>
          <cell r="D597">
            <v>315</v>
          </cell>
          <cell r="E597">
            <v>273</v>
          </cell>
          <cell r="F597">
            <v>231</v>
          </cell>
          <cell r="G597">
            <v>159</v>
          </cell>
          <cell r="H597">
            <v>87</v>
          </cell>
          <cell r="I597">
            <v>415</v>
          </cell>
          <cell r="J597">
            <v>376</v>
          </cell>
          <cell r="K597">
            <v>315</v>
          </cell>
          <cell r="L597">
            <v>273</v>
          </cell>
          <cell r="M597">
            <v>231</v>
          </cell>
          <cell r="N597">
            <v>159</v>
          </cell>
          <cell r="O597">
            <v>87</v>
          </cell>
          <cell r="P597">
            <v>311</v>
          </cell>
          <cell r="Q597">
            <v>288</v>
          </cell>
          <cell r="R597">
            <v>247</v>
          </cell>
          <cell r="S597">
            <v>217</v>
          </cell>
          <cell r="T597">
            <v>187</v>
          </cell>
          <cell r="U597">
            <v>131</v>
          </cell>
          <cell r="V597">
            <v>75</v>
          </cell>
          <cell r="W597">
            <v>311</v>
          </cell>
          <cell r="X597">
            <v>288</v>
          </cell>
          <cell r="Y597">
            <v>247</v>
          </cell>
          <cell r="Z597">
            <v>217</v>
          </cell>
          <cell r="AA597">
            <v>187</v>
          </cell>
          <cell r="AB597">
            <v>131</v>
          </cell>
          <cell r="AC597">
            <v>75</v>
          </cell>
        </row>
        <row r="598">
          <cell r="A598" t="str">
            <v>20-22-27</v>
          </cell>
          <cell r="B598">
            <v>404</v>
          </cell>
          <cell r="C598">
            <v>365</v>
          </cell>
          <cell r="D598">
            <v>305</v>
          </cell>
          <cell r="E598">
            <v>264</v>
          </cell>
          <cell r="F598">
            <v>223</v>
          </cell>
          <cell r="G598">
            <v>154</v>
          </cell>
          <cell r="H598">
            <v>84</v>
          </cell>
          <cell r="I598">
            <v>404</v>
          </cell>
          <cell r="J598">
            <v>365</v>
          </cell>
          <cell r="K598">
            <v>305</v>
          </cell>
          <cell r="L598">
            <v>264</v>
          </cell>
          <cell r="M598">
            <v>223</v>
          </cell>
          <cell r="N598">
            <v>154</v>
          </cell>
          <cell r="O598">
            <v>84</v>
          </cell>
          <cell r="P598">
            <v>303</v>
          </cell>
          <cell r="Q598">
            <v>279</v>
          </cell>
          <cell r="R598">
            <v>239</v>
          </cell>
          <cell r="S598">
            <v>210</v>
          </cell>
          <cell r="T598">
            <v>181</v>
          </cell>
          <cell r="U598">
            <v>127</v>
          </cell>
          <cell r="V598">
            <v>73</v>
          </cell>
          <cell r="W598">
            <v>303</v>
          </cell>
          <cell r="X598">
            <v>279</v>
          </cell>
          <cell r="Y598">
            <v>239</v>
          </cell>
          <cell r="Z598">
            <v>210</v>
          </cell>
          <cell r="AA598">
            <v>181</v>
          </cell>
          <cell r="AB598">
            <v>127</v>
          </cell>
          <cell r="AC598">
            <v>73</v>
          </cell>
        </row>
        <row r="599">
          <cell r="A599" t="str">
            <v>4-6-28</v>
          </cell>
          <cell r="B599">
            <v>2211</v>
          </cell>
          <cell r="C599">
            <v>1911</v>
          </cell>
          <cell r="D599">
            <v>1540</v>
          </cell>
          <cell r="E599">
            <v>1316</v>
          </cell>
          <cell r="F599">
            <v>1091</v>
          </cell>
          <cell r="G599">
            <v>761</v>
          </cell>
          <cell r="H599">
            <v>431</v>
          </cell>
          <cell r="I599">
            <v>1347</v>
          </cell>
          <cell r="J599">
            <v>1159</v>
          </cell>
          <cell r="K599">
            <v>930</v>
          </cell>
          <cell r="L599">
            <v>793</v>
          </cell>
          <cell r="M599">
            <v>656</v>
          </cell>
          <cell r="N599">
            <v>458</v>
          </cell>
          <cell r="O599">
            <v>259</v>
          </cell>
          <cell r="P599">
            <v>1657</v>
          </cell>
          <cell r="Q599">
            <v>1462</v>
          </cell>
          <cell r="R599">
            <v>1205</v>
          </cell>
          <cell r="S599">
            <v>1046</v>
          </cell>
          <cell r="T599">
            <v>886</v>
          </cell>
          <cell r="U599">
            <v>631</v>
          </cell>
          <cell r="V599">
            <v>376</v>
          </cell>
          <cell r="W599">
            <v>1010</v>
          </cell>
          <cell r="X599">
            <v>887</v>
          </cell>
          <cell r="Y599">
            <v>728</v>
          </cell>
          <cell r="Z599">
            <v>631</v>
          </cell>
          <cell r="AA599">
            <v>533</v>
          </cell>
          <cell r="AB599">
            <v>380</v>
          </cell>
          <cell r="AC599">
            <v>226</v>
          </cell>
        </row>
        <row r="600">
          <cell r="A600" t="str">
            <v>4-7-28</v>
          </cell>
          <cell r="B600">
            <v>2104</v>
          </cell>
          <cell r="C600">
            <v>1824</v>
          </cell>
          <cell r="D600">
            <v>1472</v>
          </cell>
          <cell r="E600">
            <v>1258</v>
          </cell>
          <cell r="F600">
            <v>1044</v>
          </cell>
          <cell r="G600">
            <v>729</v>
          </cell>
          <cell r="H600">
            <v>413</v>
          </cell>
          <cell r="I600">
            <v>1299</v>
          </cell>
          <cell r="J600">
            <v>1120</v>
          </cell>
          <cell r="K600">
            <v>899</v>
          </cell>
          <cell r="L600">
            <v>767</v>
          </cell>
          <cell r="M600">
            <v>634</v>
          </cell>
          <cell r="N600">
            <v>442</v>
          </cell>
          <cell r="O600">
            <v>249</v>
          </cell>
          <cell r="P600">
            <v>1577</v>
          </cell>
          <cell r="Q600">
            <v>1396</v>
          </cell>
          <cell r="R600">
            <v>1152</v>
          </cell>
          <cell r="S600">
            <v>1000</v>
          </cell>
          <cell r="T600">
            <v>848</v>
          </cell>
          <cell r="U600">
            <v>604</v>
          </cell>
          <cell r="V600">
            <v>360</v>
          </cell>
          <cell r="W600">
            <v>974</v>
          </cell>
          <cell r="X600">
            <v>857</v>
          </cell>
          <cell r="Y600">
            <v>704</v>
          </cell>
          <cell r="Z600">
            <v>610</v>
          </cell>
          <cell r="AA600">
            <v>515</v>
          </cell>
          <cell r="AB600">
            <v>366</v>
          </cell>
          <cell r="AC600">
            <v>217</v>
          </cell>
        </row>
        <row r="601">
          <cell r="A601" t="str">
            <v>4-8-28</v>
          </cell>
          <cell r="B601">
            <v>1995</v>
          </cell>
          <cell r="C601">
            <v>1736</v>
          </cell>
          <cell r="D601">
            <v>1404</v>
          </cell>
          <cell r="E601">
            <v>1200</v>
          </cell>
          <cell r="F601">
            <v>995</v>
          </cell>
          <cell r="G601">
            <v>694</v>
          </cell>
          <cell r="H601">
            <v>393</v>
          </cell>
          <cell r="I601">
            <v>1253</v>
          </cell>
          <cell r="J601">
            <v>1082</v>
          </cell>
          <cell r="K601">
            <v>869</v>
          </cell>
          <cell r="L601">
            <v>741</v>
          </cell>
          <cell r="M601">
            <v>612</v>
          </cell>
          <cell r="N601">
            <v>426</v>
          </cell>
          <cell r="O601">
            <v>240</v>
          </cell>
          <cell r="P601">
            <v>1495</v>
          </cell>
          <cell r="Q601">
            <v>1328</v>
          </cell>
          <cell r="R601">
            <v>1099</v>
          </cell>
          <cell r="S601">
            <v>954</v>
          </cell>
          <cell r="T601">
            <v>809</v>
          </cell>
          <cell r="U601">
            <v>576</v>
          </cell>
          <cell r="V601">
            <v>342</v>
          </cell>
          <cell r="W601">
            <v>939</v>
          </cell>
          <cell r="X601">
            <v>827</v>
          </cell>
          <cell r="Y601">
            <v>680</v>
          </cell>
          <cell r="Z601">
            <v>589</v>
          </cell>
          <cell r="AA601">
            <v>497</v>
          </cell>
          <cell r="AB601">
            <v>353</v>
          </cell>
          <cell r="AC601">
            <v>209</v>
          </cell>
        </row>
        <row r="602">
          <cell r="A602" t="str">
            <v>4-9-28</v>
          </cell>
          <cell r="B602">
            <v>1883</v>
          </cell>
          <cell r="C602">
            <v>1644</v>
          </cell>
          <cell r="D602">
            <v>1334</v>
          </cell>
          <cell r="E602">
            <v>1141</v>
          </cell>
          <cell r="F602">
            <v>947</v>
          </cell>
          <cell r="G602">
            <v>659</v>
          </cell>
          <cell r="H602">
            <v>371</v>
          </cell>
          <cell r="I602">
            <v>1207</v>
          </cell>
          <cell r="J602">
            <v>1042</v>
          </cell>
          <cell r="K602">
            <v>839</v>
          </cell>
          <cell r="L602">
            <v>715</v>
          </cell>
          <cell r="M602">
            <v>591</v>
          </cell>
          <cell r="N602">
            <v>411</v>
          </cell>
          <cell r="O602">
            <v>230</v>
          </cell>
          <cell r="P602">
            <v>1412</v>
          </cell>
          <cell r="Q602">
            <v>1258</v>
          </cell>
          <cell r="R602">
            <v>1044</v>
          </cell>
          <cell r="S602">
            <v>907</v>
          </cell>
          <cell r="T602">
            <v>769</v>
          </cell>
          <cell r="U602">
            <v>546</v>
          </cell>
          <cell r="V602">
            <v>323</v>
          </cell>
          <cell r="W602">
            <v>905</v>
          </cell>
          <cell r="X602">
            <v>798</v>
          </cell>
          <cell r="Y602">
            <v>656</v>
          </cell>
          <cell r="Z602">
            <v>568</v>
          </cell>
          <cell r="AA602">
            <v>480</v>
          </cell>
          <cell r="AB602">
            <v>340</v>
          </cell>
          <cell r="AC602">
            <v>200</v>
          </cell>
        </row>
        <row r="603">
          <cell r="A603" t="str">
            <v>4-10-28</v>
          </cell>
          <cell r="B603">
            <v>1768</v>
          </cell>
          <cell r="C603">
            <v>1548</v>
          </cell>
          <cell r="D603">
            <v>1261</v>
          </cell>
          <cell r="E603">
            <v>1078</v>
          </cell>
          <cell r="F603">
            <v>895</v>
          </cell>
          <cell r="G603">
            <v>623</v>
          </cell>
          <cell r="H603">
            <v>350</v>
          </cell>
          <cell r="I603">
            <v>1161</v>
          </cell>
          <cell r="J603">
            <v>1005</v>
          </cell>
          <cell r="K603">
            <v>809</v>
          </cell>
          <cell r="L603">
            <v>689</v>
          </cell>
          <cell r="M603">
            <v>568</v>
          </cell>
          <cell r="N603">
            <v>394</v>
          </cell>
          <cell r="O603">
            <v>220</v>
          </cell>
          <cell r="P603">
            <v>1325</v>
          </cell>
          <cell r="Q603">
            <v>1185</v>
          </cell>
          <cell r="R603">
            <v>987</v>
          </cell>
          <cell r="S603">
            <v>857</v>
          </cell>
          <cell r="T603">
            <v>727</v>
          </cell>
          <cell r="U603">
            <v>516</v>
          </cell>
          <cell r="V603">
            <v>305</v>
          </cell>
          <cell r="W603">
            <v>870</v>
          </cell>
          <cell r="X603">
            <v>769</v>
          </cell>
          <cell r="Y603">
            <v>634</v>
          </cell>
          <cell r="Z603">
            <v>548</v>
          </cell>
          <cell r="AA603">
            <v>461</v>
          </cell>
          <cell r="AB603">
            <v>327</v>
          </cell>
          <cell r="AC603">
            <v>192</v>
          </cell>
        </row>
        <row r="604">
          <cell r="A604" t="str">
            <v>4-11-28</v>
          </cell>
          <cell r="B604">
            <v>1647</v>
          </cell>
          <cell r="C604">
            <v>1448</v>
          </cell>
          <cell r="D604">
            <v>1183</v>
          </cell>
          <cell r="E604">
            <v>1012</v>
          </cell>
          <cell r="F604">
            <v>841</v>
          </cell>
          <cell r="G604">
            <v>585</v>
          </cell>
          <cell r="H604">
            <v>329</v>
          </cell>
          <cell r="I604">
            <v>1113</v>
          </cell>
          <cell r="J604">
            <v>966</v>
          </cell>
          <cell r="K604">
            <v>779</v>
          </cell>
          <cell r="L604">
            <v>663</v>
          </cell>
          <cell r="M604">
            <v>546</v>
          </cell>
          <cell r="N604">
            <v>379</v>
          </cell>
          <cell r="O604">
            <v>211</v>
          </cell>
          <cell r="P604">
            <v>1235</v>
          </cell>
          <cell r="Q604">
            <v>1108</v>
          </cell>
          <cell r="R604">
            <v>926</v>
          </cell>
          <cell r="S604">
            <v>805</v>
          </cell>
          <cell r="T604">
            <v>683</v>
          </cell>
          <cell r="U604">
            <v>485</v>
          </cell>
          <cell r="V604">
            <v>286</v>
          </cell>
          <cell r="W604">
            <v>834</v>
          </cell>
          <cell r="X604">
            <v>739</v>
          </cell>
          <cell r="Y604">
            <v>610</v>
          </cell>
          <cell r="Z604">
            <v>527</v>
          </cell>
          <cell r="AA604">
            <v>444</v>
          </cell>
          <cell r="AB604">
            <v>314</v>
          </cell>
          <cell r="AC604">
            <v>183</v>
          </cell>
        </row>
        <row r="605">
          <cell r="A605" t="str">
            <v>4-12-28</v>
          </cell>
          <cell r="B605">
            <v>1518</v>
          </cell>
          <cell r="C605">
            <v>1340</v>
          </cell>
          <cell r="D605">
            <v>1099</v>
          </cell>
          <cell r="E605">
            <v>941</v>
          </cell>
          <cell r="F605">
            <v>782</v>
          </cell>
          <cell r="G605">
            <v>543</v>
          </cell>
          <cell r="H605">
            <v>304</v>
          </cell>
          <cell r="I605">
            <v>1065</v>
          </cell>
          <cell r="J605">
            <v>925</v>
          </cell>
          <cell r="K605">
            <v>747</v>
          </cell>
          <cell r="L605">
            <v>636</v>
          </cell>
          <cell r="M605">
            <v>524</v>
          </cell>
          <cell r="N605">
            <v>362</v>
          </cell>
          <cell r="O605">
            <v>200</v>
          </cell>
          <cell r="P605">
            <v>1138</v>
          </cell>
          <cell r="Q605">
            <v>1026</v>
          </cell>
          <cell r="R605">
            <v>860</v>
          </cell>
          <cell r="S605">
            <v>748</v>
          </cell>
          <cell r="T605">
            <v>635</v>
          </cell>
          <cell r="U605">
            <v>450</v>
          </cell>
          <cell r="V605">
            <v>265</v>
          </cell>
          <cell r="W605">
            <v>799</v>
          </cell>
          <cell r="X605">
            <v>708</v>
          </cell>
          <cell r="Y605">
            <v>585</v>
          </cell>
          <cell r="Z605">
            <v>505</v>
          </cell>
          <cell r="AA605">
            <v>425</v>
          </cell>
          <cell r="AB605">
            <v>300</v>
          </cell>
          <cell r="AC605">
            <v>174</v>
          </cell>
        </row>
        <row r="606">
          <cell r="A606" t="str">
            <v>5-7-28</v>
          </cell>
          <cell r="B606">
            <v>2104</v>
          </cell>
          <cell r="C606">
            <v>1822</v>
          </cell>
          <cell r="D606">
            <v>1469</v>
          </cell>
          <cell r="E606">
            <v>1254</v>
          </cell>
          <cell r="F606">
            <v>1038</v>
          </cell>
          <cell r="G606">
            <v>724</v>
          </cell>
          <cell r="H606">
            <v>409</v>
          </cell>
          <cell r="I606">
            <v>1299</v>
          </cell>
          <cell r="J606">
            <v>1119</v>
          </cell>
          <cell r="K606">
            <v>897</v>
          </cell>
          <cell r="L606">
            <v>765</v>
          </cell>
          <cell r="M606">
            <v>632</v>
          </cell>
          <cell r="N606">
            <v>440</v>
          </cell>
          <cell r="O606">
            <v>247</v>
          </cell>
          <cell r="P606">
            <v>1577</v>
          </cell>
          <cell r="Q606">
            <v>1394</v>
          </cell>
          <cell r="R606">
            <v>1150</v>
          </cell>
          <cell r="S606">
            <v>997</v>
          </cell>
          <cell r="T606">
            <v>843</v>
          </cell>
          <cell r="U606">
            <v>600</v>
          </cell>
          <cell r="V606">
            <v>356</v>
          </cell>
          <cell r="W606">
            <v>974</v>
          </cell>
          <cell r="X606">
            <v>856</v>
          </cell>
          <cell r="Y606">
            <v>702</v>
          </cell>
          <cell r="Z606">
            <v>608</v>
          </cell>
          <cell r="AA606">
            <v>513</v>
          </cell>
          <cell r="AB606">
            <v>364</v>
          </cell>
          <cell r="AC606">
            <v>215</v>
          </cell>
        </row>
        <row r="607">
          <cell r="A607" t="str">
            <v>5-8-28</v>
          </cell>
          <cell r="B607">
            <v>1994</v>
          </cell>
          <cell r="C607">
            <v>1732</v>
          </cell>
          <cell r="D607">
            <v>1400</v>
          </cell>
          <cell r="E607">
            <v>1195</v>
          </cell>
          <cell r="F607">
            <v>990</v>
          </cell>
          <cell r="G607">
            <v>690</v>
          </cell>
          <cell r="H607">
            <v>389</v>
          </cell>
          <cell r="I607">
            <v>1252</v>
          </cell>
          <cell r="J607">
            <v>1080</v>
          </cell>
          <cell r="K607">
            <v>867</v>
          </cell>
          <cell r="L607">
            <v>738</v>
          </cell>
          <cell r="M607">
            <v>609</v>
          </cell>
          <cell r="N607">
            <v>424</v>
          </cell>
          <cell r="O607">
            <v>238</v>
          </cell>
          <cell r="P607">
            <v>1495</v>
          </cell>
          <cell r="Q607">
            <v>1325</v>
          </cell>
          <cell r="R607">
            <v>1096</v>
          </cell>
          <cell r="S607">
            <v>950</v>
          </cell>
          <cell r="T607">
            <v>804</v>
          </cell>
          <cell r="U607">
            <v>572</v>
          </cell>
          <cell r="V607">
            <v>339</v>
          </cell>
          <cell r="W607">
            <v>939</v>
          </cell>
          <cell r="X607">
            <v>826</v>
          </cell>
          <cell r="Y607">
            <v>679</v>
          </cell>
          <cell r="Z607">
            <v>587</v>
          </cell>
          <cell r="AA607">
            <v>495</v>
          </cell>
          <cell r="AB607">
            <v>351</v>
          </cell>
          <cell r="AC607">
            <v>207</v>
          </cell>
        </row>
        <row r="608">
          <cell r="A608" t="str">
            <v>5-9-28</v>
          </cell>
          <cell r="B608">
            <v>1881</v>
          </cell>
          <cell r="C608">
            <v>1639</v>
          </cell>
          <cell r="D608">
            <v>1328</v>
          </cell>
          <cell r="E608">
            <v>1135</v>
          </cell>
          <cell r="F608">
            <v>942</v>
          </cell>
          <cell r="G608">
            <v>655</v>
          </cell>
          <cell r="H608">
            <v>368</v>
          </cell>
          <cell r="I608">
            <v>1206</v>
          </cell>
          <cell r="J608">
            <v>1042</v>
          </cell>
          <cell r="K608">
            <v>837</v>
          </cell>
          <cell r="L608">
            <v>713</v>
          </cell>
          <cell r="M608">
            <v>588</v>
          </cell>
          <cell r="N608">
            <v>408</v>
          </cell>
          <cell r="O608">
            <v>228</v>
          </cell>
          <cell r="P608">
            <v>1410</v>
          </cell>
          <cell r="Q608">
            <v>1254</v>
          </cell>
          <cell r="R608">
            <v>1039</v>
          </cell>
          <cell r="S608">
            <v>902</v>
          </cell>
          <cell r="T608">
            <v>765</v>
          </cell>
          <cell r="U608">
            <v>543</v>
          </cell>
          <cell r="V608">
            <v>320</v>
          </cell>
          <cell r="W608">
            <v>904</v>
          </cell>
          <cell r="X608">
            <v>797</v>
          </cell>
          <cell r="Y608">
            <v>655</v>
          </cell>
          <cell r="Z608">
            <v>567</v>
          </cell>
          <cell r="AA608">
            <v>478</v>
          </cell>
          <cell r="AB608">
            <v>338</v>
          </cell>
          <cell r="AC608">
            <v>198</v>
          </cell>
        </row>
        <row r="609">
          <cell r="A609" t="str">
            <v>5-10-28</v>
          </cell>
          <cell r="B609">
            <v>1764</v>
          </cell>
          <cell r="C609">
            <v>1543</v>
          </cell>
          <cell r="D609">
            <v>1255</v>
          </cell>
          <cell r="E609">
            <v>1073</v>
          </cell>
          <cell r="F609">
            <v>890</v>
          </cell>
          <cell r="G609">
            <v>619</v>
          </cell>
          <cell r="H609">
            <v>348</v>
          </cell>
          <cell r="I609">
            <v>1158</v>
          </cell>
          <cell r="J609">
            <v>1003</v>
          </cell>
          <cell r="K609">
            <v>807</v>
          </cell>
          <cell r="L609">
            <v>687</v>
          </cell>
          <cell r="M609">
            <v>567</v>
          </cell>
          <cell r="N609">
            <v>393</v>
          </cell>
          <cell r="O609">
            <v>219</v>
          </cell>
          <cell r="P609">
            <v>1322</v>
          </cell>
          <cell r="Q609">
            <v>1181</v>
          </cell>
          <cell r="R609">
            <v>982</v>
          </cell>
          <cell r="S609">
            <v>853</v>
          </cell>
          <cell r="T609">
            <v>723</v>
          </cell>
          <cell r="U609">
            <v>513</v>
          </cell>
          <cell r="V609">
            <v>303</v>
          </cell>
          <cell r="W609">
            <v>868</v>
          </cell>
          <cell r="X609">
            <v>768</v>
          </cell>
          <cell r="Y609">
            <v>631</v>
          </cell>
          <cell r="Z609">
            <v>546</v>
          </cell>
          <cell r="AA609">
            <v>460</v>
          </cell>
          <cell r="AB609">
            <v>326</v>
          </cell>
          <cell r="AC609">
            <v>191</v>
          </cell>
        </row>
        <row r="610">
          <cell r="A610" t="str">
            <v>5-11-28</v>
          </cell>
          <cell r="B610">
            <v>1642</v>
          </cell>
          <cell r="C610">
            <v>1443</v>
          </cell>
          <cell r="D610">
            <v>1178</v>
          </cell>
          <cell r="E610">
            <v>1008</v>
          </cell>
          <cell r="F610">
            <v>837</v>
          </cell>
          <cell r="G610">
            <v>581</v>
          </cell>
          <cell r="H610">
            <v>325</v>
          </cell>
          <cell r="I610">
            <v>1112</v>
          </cell>
          <cell r="J610">
            <v>964</v>
          </cell>
          <cell r="K610">
            <v>776</v>
          </cell>
          <cell r="L610">
            <v>661</v>
          </cell>
          <cell r="M610">
            <v>545</v>
          </cell>
          <cell r="N610">
            <v>377</v>
          </cell>
          <cell r="O610">
            <v>209</v>
          </cell>
          <cell r="P610">
            <v>1231</v>
          </cell>
          <cell r="Q610">
            <v>1104</v>
          </cell>
          <cell r="R610">
            <v>922</v>
          </cell>
          <cell r="S610">
            <v>801</v>
          </cell>
          <cell r="T610">
            <v>680</v>
          </cell>
          <cell r="U610">
            <v>482</v>
          </cell>
          <cell r="V610">
            <v>283</v>
          </cell>
          <cell r="W610">
            <v>834</v>
          </cell>
          <cell r="X610">
            <v>738</v>
          </cell>
          <cell r="Y610">
            <v>608</v>
          </cell>
          <cell r="Z610">
            <v>526</v>
          </cell>
          <cell r="AA610">
            <v>443</v>
          </cell>
          <cell r="AB610">
            <v>313</v>
          </cell>
          <cell r="AC610">
            <v>182</v>
          </cell>
        </row>
        <row r="611">
          <cell r="A611" t="str">
            <v>5-12-28</v>
          </cell>
          <cell r="B611">
            <v>1516</v>
          </cell>
          <cell r="C611">
            <v>1337</v>
          </cell>
          <cell r="D611">
            <v>1095</v>
          </cell>
          <cell r="E611">
            <v>938</v>
          </cell>
          <cell r="F611">
            <v>780</v>
          </cell>
          <cell r="G611">
            <v>541</v>
          </cell>
          <cell r="H611">
            <v>302</v>
          </cell>
          <cell r="I611">
            <v>1064</v>
          </cell>
          <cell r="J611">
            <v>924</v>
          </cell>
          <cell r="K611">
            <v>746</v>
          </cell>
          <cell r="L611">
            <v>635</v>
          </cell>
          <cell r="M611">
            <v>523</v>
          </cell>
          <cell r="N611">
            <v>362</v>
          </cell>
          <cell r="O611">
            <v>200</v>
          </cell>
          <cell r="P611">
            <v>1136</v>
          </cell>
          <cell r="Q611">
            <v>1023</v>
          </cell>
          <cell r="R611">
            <v>857</v>
          </cell>
          <cell r="S611">
            <v>745</v>
          </cell>
          <cell r="T611">
            <v>633</v>
          </cell>
          <cell r="U611">
            <v>448</v>
          </cell>
          <cell r="V611">
            <v>263</v>
          </cell>
          <cell r="W611">
            <v>798</v>
          </cell>
          <cell r="X611">
            <v>707</v>
          </cell>
          <cell r="Y611">
            <v>584</v>
          </cell>
          <cell r="Z611">
            <v>504</v>
          </cell>
          <cell r="AA611">
            <v>424</v>
          </cell>
          <cell r="AB611">
            <v>299</v>
          </cell>
          <cell r="AC611">
            <v>174</v>
          </cell>
        </row>
        <row r="612">
          <cell r="A612" t="str">
            <v>5-13-28</v>
          </cell>
          <cell r="B612">
            <v>1378</v>
          </cell>
          <cell r="C612">
            <v>1221</v>
          </cell>
          <cell r="D612">
            <v>1004</v>
          </cell>
          <cell r="E612">
            <v>860</v>
          </cell>
          <cell r="F612">
            <v>716</v>
          </cell>
          <cell r="G612">
            <v>496</v>
          </cell>
          <cell r="H612">
            <v>276</v>
          </cell>
          <cell r="I612">
            <v>1015</v>
          </cell>
          <cell r="J612">
            <v>884</v>
          </cell>
          <cell r="K612">
            <v>713</v>
          </cell>
          <cell r="L612">
            <v>606</v>
          </cell>
          <cell r="M612">
            <v>499</v>
          </cell>
          <cell r="N612">
            <v>344</v>
          </cell>
          <cell r="O612">
            <v>189</v>
          </cell>
          <cell r="P612">
            <v>1033</v>
          </cell>
          <cell r="Q612">
            <v>934</v>
          </cell>
          <cell r="R612">
            <v>786</v>
          </cell>
          <cell r="S612">
            <v>684</v>
          </cell>
          <cell r="T612">
            <v>581</v>
          </cell>
          <cell r="U612">
            <v>411</v>
          </cell>
          <cell r="V612">
            <v>241</v>
          </cell>
          <cell r="W612">
            <v>761</v>
          </cell>
          <cell r="X612">
            <v>676</v>
          </cell>
          <cell r="Y612">
            <v>558</v>
          </cell>
          <cell r="Z612">
            <v>482</v>
          </cell>
          <cell r="AA612">
            <v>405</v>
          </cell>
          <cell r="AB612">
            <v>285</v>
          </cell>
          <cell r="AC612">
            <v>165</v>
          </cell>
        </row>
        <row r="613">
          <cell r="A613" t="str">
            <v>6-8-28</v>
          </cell>
          <cell r="B613">
            <v>1993</v>
          </cell>
          <cell r="C613">
            <v>1729</v>
          </cell>
          <cell r="D613">
            <v>1395</v>
          </cell>
          <cell r="E613">
            <v>1190</v>
          </cell>
          <cell r="F613">
            <v>985</v>
          </cell>
          <cell r="G613">
            <v>685</v>
          </cell>
          <cell r="H613">
            <v>385</v>
          </cell>
          <cell r="I613">
            <v>1252</v>
          </cell>
          <cell r="J613">
            <v>1079</v>
          </cell>
          <cell r="K613">
            <v>865</v>
          </cell>
          <cell r="L613">
            <v>736</v>
          </cell>
          <cell r="M613">
            <v>607</v>
          </cell>
          <cell r="N613">
            <v>422</v>
          </cell>
          <cell r="O613">
            <v>236</v>
          </cell>
          <cell r="P613">
            <v>1494</v>
          </cell>
          <cell r="Q613">
            <v>1323</v>
          </cell>
          <cell r="R613">
            <v>1092</v>
          </cell>
          <cell r="S613">
            <v>947</v>
          </cell>
          <cell r="T613">
            <v>801</v>
          </cell>
          <cell r="U613">
            <v>569</v>
          </cell>
          <cell r="V613">
            <v>336</v>
          </cell>
          <cell r="W613">
            <v>939</v>
          </cell>
          <cell r="X613">
            <v>826</v>
          </cell>
          <cell r="Y613">
            <v>677</v>
          </cell>
          <cell r="Z613">
            <v>585</v>
          </cell>
          <cell r="AA613">
            <v>493</v>
          </cell>
          <cell r="AB613">
            <v>350</v>
          </cell>
          <cell r="AC613">
            <v>206</v>
          </cell>
        </row>
        <row r="614">
          <cell r="A614" t="str">
            <v>6-9-28</v>
          </cell>
          <cell r="B614">
            <v>1877</v>
          </cell>
          <cell r="C614">
            <v>1634</v>
          </cell>
          <cell r="D614">
            <v>1323</v>
          </cell>
          <cell r="E614">
            <v>1129</v>
          </cell>
          <cell r="F614">
            <v>935</v>
          </cell>
          <cell r="G614">
            <v>650</v>
          </cell>
          <cell r="H614">
            <v>365</v>
          </cell>
          <cell r="I614">
            <v>1204</v>
          </cell>
          <cell r="J614">
            <v>1040</v>
          </cell>
          <cell r="K614">
            <v>835</v>
          </cell>
          <cell r="L614">
            <v>710</v>
          </cell>
          <cell r="M614">
            <v>585</v>
          </cell>
          <cell r="N614">
            <v>406</v>
          </cell>
          <cell r="O614">
            <v>227</v>
          </cell>
          <cell r="P614">
            <v>1407</v>
          </cell>
          <cell r="Q614">
            <v>1250</v>
          </cell>
          <cell r="R614">
            <v>1036</v>
          </cell>
          <cell r="S614">
            <v>898</v>
          </cell>
          <cell r="T614">
            <v>760</v>
          </cell>
          <cell r="U614">
            <v>539</v>
          </cell>
          <cell r="V614">
            <v>318</v>
          </cell>
          <cell r="W614">
            <v>903</v>
          </cell>
          <cell r="X614">
            <v>796</v>
          </cell>
          <cell r="Y614">
            <v>654</v>
          </cell>
          <cell r="Z614">
            <v>565</v>
          </cell>
          <cell r="AA614">
            <v>476</v>
          </cell>
          <cell r="AB614">
            <v>337</v>
          </cell>
          <cell r="AC614">
            <v>197</v>
          </cell>
        </row>
        <row r="615">
          <cell r="A615" t="str">
            <v>6-10-28</v>
          </cell>
          <cell r="B615">
            <v>1759</v>
          </cell>
          <cell r="C615">
            <v>1537</v>
          </cell>
          <cell r="D615">
            <v>1249</v>
          </cell>
          <cell r="E615">
            <v>1067</v>
          </cell>
          <cell r="F615">
            <v>884</v>
          </cell>
          <cell r="G615">
            <v>614</v>
          </cell>
          <cell r="H615">
            <v>344</v>
          </cell>
          <cell r="I615">
            <v>1157</v>
          </cell>
          <cell r="J615">
            <v>1000</v>
          </cell>
          <cell r="K615">
            <v>805</v>
          </cell>
          <cell r="L615">
            <v>685</v>
          </cell>
          <cell r="M615">
            <v>564</v>
          </cell>
          <cell r="N615">
            <v>391</v>
          </cell>
          <cell r="O615">
            <v>217</v>
          </cell>
          <cell r="P615">
            <v>1318</v>
          </cell>
          <cell r="Q615">
            <v>1176</v>
          </cell>
          <cell r="R615">
            <v>978</v>
          </cell>
          <cell r="S615">
            <v>848</v>
          </cell>
          <cell r="T615">
            <v>718</v>
          </cell>
          <cell r="U615">
            <v>509</v>
          </cell>
          <cell r="V615">
            <v>299</v>
          </cell>
          <cell r="W615">
            <v>867</v>
          </cell>
          <cell r="X615">
            <v>765</v>
          </cell>
          <cell r="Y615">
            <v>630</v>
          </cell>
          <cell r="Z615">
            <v>544</v>
          </cell>
          <cell r="AA615">
            <v>458</v>
          </cell>
          <cell r="AB615">
            <v>324</v>
          </cell>
          <cell r="AC615">
            <v>189</v>
          </cell>
        </row>
        <row r="616">
          <cell r="A616" t="str">
            <v>6-11-28</v>
          </cell>
          <cell r="B616">
            <v>1637</v>
          </cell>
          <cell r="C616">
            <v>1437</v>
          </cell>
          <cell r="D616">
            <v>1172</v>
          </cell>
          <cell r="E616">
            <v>1002</v>
          </cell>
          <cell r="F616">
            <v>831</v>
          </cell>
          <cell r="G616">
            <v>577</v>
          </cell>
          <cell r="H616">
            <v>323</v>
          </cell>
          <cell r="I616">
            <v>1110</v>
          </cell>
          <cell r="J616">
            <v>962</v>
          </cell>
          <cell r="K616">
            <v>774</v>
          </cell>
          <cell r="L616">
            <v>659</v>
          </cell>
          <cell r="M616">
            <v>543</v>
          </cell>
          <cell r="N616">
            <v>376</v>
          </cell>
          <cell r="O616">
            <v>208</v>
          </cell>
          <cell r="P616">
            <v>1227</v>
          </cell>
          <cell r="Q616">
            <v>1099</v>
          </cell>
          <cell r="R616">
            <v>917</v>
          </cell>
          <cell r="S616">
            <v>796</v>
          </cell>
          <cell r="T616">
            <v>675</v>
          </cell>
          <cell r="U616">
            <v>478</v>
          </cell>
          <cell r="V616">
            <v>281</v>
          </cell>
          <cell r="W616">
            <v>832</v>
          </cell>
          <cell r="X616">
            <v>736</v>
          </cell>
          <cell r="Y616">
            <v>606</v>
          </cell>
          <cell r="Z616">
            <v>524</v>
          </cell>
          <cell r="AA616">
            <v>441</v>
          </cell>
          <cell r="AB616">
            <v>311</v>
          </cell>
          <cell r="AC616">
            <v>181</v>
          </cell>
        </row>
        <row r="617">
          <cell r="A617" t="str">
            <v>6-12-28</v>
          </cell>
          <cell r="B617">
            <v>1510</v>
          </cell>
          <cell r="C617">
            <v>1331</v>
          </cell>
          <cell r="D617">
            <v>1089</v>
          </cell>
          <cell r="E617">
            <v>932</v>
          </cell>
          <cell r="F617">
            <v>775</v>
          </cell>
          <cell r="G617">
            <v>538</v>
          </cell>
          <cell r="H617">
            <v>300</v>
          </cell>
          <cell r="I617">
            <v>1063</v>
          </cell>
          <cell r="J617">
            <v>923</v>
          </cell>
          <cell r="K617">
            <v>743</v>
          </cell>
          <cell r="L617">
            <v>633</v>
          </cell>
          <cell r="M617">
            <v>522</v>
          </cell>
          <cell r="N617">
            <v>361</v>
          </cell>
          <cell r="O617">
            <v>199</v>
          </cell>
          <cell r="P617">
            <v>1132</v>
          </cell>
          <cell r="Q617">
            <v>1018</v>
          </cell>
          <cell r="R617">
            <v>853</v>
          </cell>
          <cell r="S617">
            <v>741</v>
          </cell>
          <cell r="T617">
            <v>629</v>
          </cell>
          <cell r="U617">
            <v>446</v>
          </cell>
          <cell r="V617">
            <v>262</v>
          </cell>
          <cell r="W617">
            <v>797</v>
          </cell>
          <cell r="X617">
            <v>706</v>
          </cell>
          <cell r="Y617">
            <v>582</v>
          </cell>
          <cell r="Z617">
            <v>503</v>
          </cell>
          <cell r="AA617">
            <v>423</v>
          </cell>
          <cell r="AB617">
            <v>298</v>
          </cell>
          <cell r="AC617">
            <v>173</v>
          </cell>
        </row>
        <row r="618">
          <cell r="A618" t="str">
            <v>6-13-28</v>
          </cell>
          <cell r="B618">
            <v>1375</v>
          </cell>
          <cell r="C618">
            <v>1217</v>
          </cell>
          <cell r="D618">
            <v>1000</v>
          </cell>
          <cell r="E618">
            <v>856</v>
          </cell>
          <cell r="F618">
            <v>712</v>
          </cell>
          <cell r="G618">
            <v>494</v>
          </cell>
          <cell r="H618">
            <v>275</v>
          </cell>
          <cell r="I618">
            <v>1013</v>
          </cell>
          <cell r="J618">
            <v>882</v>
          </cell>
          <cell r="K618">
            <v>712</v>
          </cell>
          <cell r="L618">
            <v>605</v>
          </cell>
          <cell r="M618">
            <v>498</v>
          </cell>
          <cell r="N618">
            <v>343</v>
          </cell>
          <cell r="O618">
            <v>188</v>
          </cell>
          <cell r="P618">
            <v>1031</v>
          </cell>
          <cell r="Q618">
            <v>931</v>
          </cell>
          <cell r="R618">
            <v>783</v>
          </cell>
          <cell r="S618">
            <v>681</v>
          </cell>
          <cell r="T618">
            <v>578</v>
          </cell>
          <cell r="U618">
            <v>409</v>
          </cell>
          <cell r="V618">
            <v>239</v>
          </cell>
          <cell r="W618">
            <v>760</v>
          </cell>
          <cell r="X618">
            <v>675</v>
          </cell>
          <cell r="Y618">
            <v>557</v>
          </cell>
          <cell r="Z618">
            <v>481</v>
          </cell>
          <cell r="AA618">
            <v>404</v>
          </cell>
          <cell r="AB618">
            <v>284</v>
          </cell>
          <cell r="AC618">
            <v>164</v>
          </cell>
        </row>
        <row r="619">
          <cell r="A619" t="str">
            <v>6-14-28</v>
          </cell>
          <cell r="B619">
            <v>1230</v>
          </cell>
          <cell r="C619">
            <v>1093</v>
          </cell>
          <cell r="D619">
            <v>902</v>
          </cell>
          <cell r="E619">
            <v>773</v>
          </cell>
          <cell r="F619">
            <v>644</v>
          </cell>
          <cell r="G619">
            <v>446</v>
          </cell>
          <cell r="H619">
            <v>248</v>
          </cell>
          <cell r="I619">
            <v>964</v>
          </cell>
          <cell r="J619">
            <v>840</v>
          </cell>
          <cell r="K619">
            <v>679</v>
          </cell>
          <cell r="L619">
            <v>577</v>
          </cell>
          <cell r="M619">
            <v>474</v>
          </cell>
          <cell r="N619">
            <v>327</v>
          </cell>
          <cell r="O619">
            <v>180</v>
          </cell>
          <cell r="P619">
            <v>922</v>
          </cell>
          <cell r="Q619">
            <v>836</v>
          </cell>
          <cell r="R619">
            <v>706</v>
          </cell>
          <cell r="S619">
            <v>615</v>
          </cell>
          <cell r="T619">
            <v>524</v>
          </cell>
          <cell r="U619">
            <v>370</v>
          </cell>
          <cell r="V619">
            <v>216</v>
          </cell>
          <cell r="W619">
            <v>722</v>
          </cell>
          <cell r="X619">
            <v>642</v>
          </cell>
          <cell r="Y619">
            <v>532</v>
          </cell>
          <cell r="Z619">
            <v>459</v>
          </cell>
          <cell r="AA619">
            <v>385</v>
          </cell>
          <cell r="AB619">
            <v>271</v>
          </cell>
          <cell r="AC619">
            <v>157</v>
          </cell>
        </row>
        <row r="620">
          <cell r="A620" t="str">
            <v>7-9-28</v>
          </cell>
          <cell r="B620">
            <v>1875</v>
          </cell>
          <cell r="C620">
            <v>1631</v>
          </cell>
          <cell r="D620">
            <v>1318</v>
          </cell>
          <cell r="E620">
            <v>1124</v>
          </cell>
          <cell r="F620">
            <v>929</v>
          </cell>
          <cell r="G620">
            <v>645</v>
          </cell>
          <cell r="H620">
            <v>361</v>
          </cell>
          <cell r="I620">
            <v>1203</v>
          </cell>
          <cell r="J620">
            <v>1038</v>
          </cell>
          <cell r="K620">
            <v>832</v>
          </cell>
          <cell r="L620">
            <v>708</v>
          </cell>
          <cell r="M620">
            <v>583</v>
          </cell>
          <cell r="N620">
            <v>404</v>
          </cell>
          <cell r="O620">
            <v>225</v>
          </cell>
          <cell r="P620">
            <v>1406</v>
          </cell>
          <cell r="Q620">
            <v>1248</v>
          </cell>
          <cell r="R620">
            <v>1032</v>
          </cell>
          <cell r="S620">
            <v>894</v>
          </cell>
          <cell r="T620">
            <v>755</v>
          </cell>
          <cell r="U620">
            <v>535</v>
          </cell>
          <cell r="V620">
            <v>315</v>
          </cell>
          <cell r="W620">
            <v>902</v>
          </cell>
          <cell r="X620">
            <v>794</v>
          </cell>
          <cell r="Y620">
            <v>652</v>
          </cell>
          <cell r="Z620">
            <v>563</v>
          </cell>
          <cell r="AA620">
            <v>474</v>
          </cell>
          <cell r="AB620">
            <v>335</v>
          </cell>
          <cell r="AC620">
            <v>196</v>
          </cell>
        </row>
        <row r="621">
          <cell r="A621" t="str">
            <v>7-10-28</v>
          </cell>
          <cell r="B621">
            <v>1755</v>
          </cell>
          <cell r="C621">
            <v>1532</v>
          </cell>
          <cell r="D621">
            <v>1242</v>
          </cell>
          <cell r="E621">
            <v>1060</v>
          </cell>
          <cell r="F621">
            <v>878</v>
          </cell>
          <cell r="G621">
            <v>609</v>
          </cell>
          <cell r="H621">
            <v>340</v>
          </cell>
          <cell r="I621">
            <v>1155</v>
          </cell>
          <cell r="J621">
            <v>999</v>
          </cell>
          <cell r="K621">
            <v>802</v>
          </cell>
          <cell r="L621">
            <v>682</v>
          </cell>
          <cell r="M621">
            <v>562</v>
          </cell>
          <cell r="N621">
            <v>389</v>
          </cell>
          <cell r="O621">
            <v>215</v>
          </cell>
          <cell r="P621">
            <v>1316</v>
          </cell>
          <cell r="Q621">
            <v>1172</v>
          </cell>
          <cell r="R621">
            <v>973</v>
          </cell>
          <cell r="S621">
            <v>843</v>
          </cell>
          <cell r="T621">
            <v>713</v>
          </cell>
          <cell r="U621">
            <v>505</v>
          </cell>
          <cell r="V621">
            <v>296</v>
          </cell>
          <cell r="W621">
            <v>866</v>
          </cell>
          <cell r="X621">
            <v>764</v>
          </cell>
          <cell r="Y621">
            <v>628</v>
          </cell>
          <cell r="Z621">
            <v>542</v>
          </cell>
          <cell r="AA621">
            <v>456</v>
          </cell>
          <cell r="AB621">
            <v>322</v>
          </cell>
          <cell r="AC621">
            <v>187</v>
          </cell>
        </row>
        <row r="622">
          <cell r="A622" t="str">
            <v>7-11-28</v>
          </cell>
          <cell r="B622">
            <v>1631</v>
          </cell>
          <cell r="C622">
            <v>1430</v>
          </cell>
          <cell r="D622">
            <v>1165</v>
          </cell>
          <cell r="E622">
            <v>995</v>
          </cell>
          <cell r="F622">
            <v>825</v>
          </cell>
          <cell r="G622">
            <v>573</v>
          </cell>
          <cell r="H622">
            <v>320</v>
          </cell>
          <cell r="I622">
            <v>1107</v>
          </cell>
          <cell r="J622">
            <v>959</v>
          </cell>
          <cell r="K622">
            <v>772</v>
          </cell>
          <cell r="L622">
            <v>656</v>
          </cell>
          <cell r="M622">
            <v>540</v>
          </cell>
          <cell r="N622">
            <v>374</v>
          </cell>
          <cell r="O622">
            <v>207</v>
          </cell>
          <cell r="P622">
            <v>1223</v>
          </cell>
          <cell r="Q622">
            <v>1094</v>
          </cell>
          <cell r="R622">
            <v>912</v>
          </cell>
          <cell r="S622">
            <v>791</v>
          </cell>
          <cell r="T622">
            <v>670</v>
          </cell>
          <cell r="U622">
            <v>474</v>
          </cell>
          <cell r="V622">
            <v>278</v>
          </cell>
          <cell r="W622">
            <v>830</v>
          </cell>
          <cell r="X622">
            <v>734</v>
          </cell>
          <cell r="Y622">
            <v>604</v>
          </cell>
          <cell r="Z622">
            <v>522</v>
          </cell>
          <cell r="AA622">
            <v>439</v>
          </cell>
          <cell r="AB622">
            <v>310</v>
          </cell>
          <cell r="AC622">
            <v>180</v>
          </cell>
        </row>
        <row r="623">
          <cell r="A623" t="str">
            <v>7-12-28</v>
          </cell>
          <cell r="B623">
            <v>1504</v>
          </cell>
          <cell r="C623">
            <v>1324</v>
          </cell>
          <cell r="D623">
            <v>1083</v>
          </cell>
          <cell r="E623">
            <v>926</v>
          </cell>
          <cell r="F623">
            <v>769</v>
          </cell>
          <cell r="G623">
            <v>533</v>
          </cell>
          <cell r="H623">
            <v>297</v>
          </cell>
          <cell r="I623">
            <v>1060</v>
          </cell>
          <cell r="J623">
            <v>921</v>
          </cell>
          <cell r="K623">
            <v>741</v>
          </cell>
          <cell r="L623">
            <v>630</v>
          </cell>
          <cell r="M623">
            <v>519</v>
          </cell>
          <cell r="N623">
            <v>358</v>
          </cell>
          <cell r="O623">
            <v>197</v>
          </cell>
          <cell r="P623">
            <v>1128</v>
          </cell>
          <cell r="Q623">
            <v>1013</v>
          </cell>
          <cell r="R623">
            <v>848</v>
          </cell>
          <cell r="S623">
            <v>736</v>
          </cell>
          <cell r="T623">
            <v>624</v>
          </cell>
          <cell r="U623">
            <v>442</v>
          </cell>
          <cell r="V623">
            <v>259</v>
          </cell>
          <cell r="W623">
            <v>795</v>
          </cell>
          <cell r="X623">
            <v>704</v>
          </cell>
          <cell r="Y623">
            <v>580</v>
          </cell>
          <cell r="Z623">
            <v>501</v>
          </cell>
          <cell r="AA623">
            <v>421</v>
          </cell>
          <cell r="AB623">
            <v>297</v>
          </cell>
          <cell r="AC623">
            <v>172</v>
          </cell>
        </row>
        <row r="624">
          <cell r="A624" t="str">
            <v>7-13-28</v>
          </cell>
          <cell r="B624">
            <v>1371</v>
          </cell>
          <cell r="C624">
            <v>1212</v>
          </cell>
          <cell r="D624">
            <v>996</v>
          </cell>
          <cell r="E624">
            <v>853</v>
          </cell>
          <cell r="F624">
            <v>710</v>
          </cell>
          <cell r="G624">
            <v>492</v>
          </cell>
          <cell r="H624">
            <v>273</v>
          </cell>
          <cell r="I624">
            <v>1013</v>
          </cell>
          <cell r="J624">
            <v>879</v>
          </cell>
          <cell r="K624">
            <v>710</v>
          </cell>
          <cell r="L624">
            <v>604</v>
          </cell>
          <cell r="M624">
            <v>497</v>
          </cell>
          <cell r="N624">
            <v>343</v>
          </cell>
          <cell r="O624">
            <v>188</v>
          </cell>
          <cell r="P624">
            <v>1028</v>
          </cell>
          <cell r="Q624">
            <v>928</v>
          </cell>
          <cell r="R624">
            <v>780</v>
          </cell>
          <cell r="S624">
            <v>678</v>
          </cell>
          <cell r="T624">
            <v>576</v>
          </cell>
          <cell r="U624">
            <v>407</v>
          </cell>
          <cell r="V624">
            <v>238</v>
          </cell>
          <cell r="W624">
            <v>759</v>
          </cell>
          <cell r="X624">
            <v>673</v>
          </cell>
          <cell r="Y624">
            <v>556</v>
          </cell>
          <cell r="Z624">
            <v>480</v>
          </cell>
          <cell r="AA624">
            <v>403</v>
          </cell>
          <cell r="AB624">
            <v>284</v>
          </cell>
          <cell r="AC624">
            <v>164</v>
          </cell>
        </row>
        <row r="625">
          <cell r="A625" t="str">
            <v>7-14-28</v>
          </cell>
          <cell r="B625">
            <v>1225</v>
          </cell>
          <cell r="C625">
            <v>1089</v>
          </cell>
          <cell r="D625">
            <v>898</v>
          </cell>
          <cell r="E625">
            <v>770</v>
          </cell>
          <cell r="F625">
            <v>642</v>
          </cell>
          <cell r="G625">
            <v>444</v>
          </cell>
          <cell r="H625">
            <v>246</v>
          </cell>
          <cell r="I625">
            <v>962</v>
          </cell>
          <cell r="J625">
            <v>838</v>
          </cell>
          <cell r="K625">
            <v>678</v>
          </cell>
          <cell r="L625">
            <v>576</v>
          </cell>
          <cell r="M625">
            <v>474</v>
          </cell>
          <cell r="N625">
            <v>326</v>
          </cell>
          <cell r="O625">
            <v>177</v>
          </cell>
          <cell r="P625">
            <v>918</v>
          </cell>
          <cell r="Q625">
            <v>834</v>
          </cell>
          <cell r="R625">
            <v>703</v>
          </cell>
          <cell r="S625">
            <v>612</v>
          </cell>
          <cell r="T625">
            <v>521</v>
          </cell>
          <cell r="U625">
            <v>368</v>
          </cell>
          <cell r="V625">
            <v>215</v>
          </cell>
          <cell r="W625">
            <v>721</v>
          </cell>
          <cell r="X625">
            <v>642</v>
          </cell>
          <cell r="Y625">
            <v>531</v>
          </cell>
          <cell r="Z625">
            <v>458</v>
          </cell>
          <cell r="AA625">
            <v>385</v>
          </cell>
          <cell r="AB625">
            <v>270</v>
          </cell>
          <cell r="AC625">
            <v>155</v>
          </cell>
        </row>
        <row r="626">
          <cell r="A626" t="str">
            <v>7-15-28</v>
          </cell>
          <cell r="B626">
            <v>1080</v>
          </cell>
          <cell r="C626">
            <v>956</v>
          </cell>
          <cell r="D626">
            <v>793</v>
          </cell>
          <cell r="E626">
            <v>681</v>
          </cell>
          <cell r="F626">
            <v>568</v>
          </cell>
          <cell r="G626">
            <v>392</v>
          </cell>
          <cell r="H626">
            <v>216</v>
          </cell>
          <cell r="I626">
            <v>918</v>
          </cell>
          <cell r="J626">
            <v>794</v>
          </cell>
          <cell r="K626">
            <v>643</v>
          </cell>
          <cell r="L626">
            <v>546</v>
          </cell>
          <cell r="M626">
            <v>449</v>
          </cell>
          <cell r="N626">
            <v>309</v>
          </cell>
          <cell r="O626">
            <v>168</v>
          </cell>
          <cell r="P626">
            <v>810</v>
          </cell>
          <cell r="Q626">
            <v>731</v>
          </cell>
          <cell r="R626">
            <v>621</v>
          </cell>
          <cell r="S626">
            <v>541</v>
          </cell>
          <cell r="T626">
            <v>461</v>
          </cell>
          <cell r="U626">
            <v>325</v>
          </cell>
          <cell r="V626">
            <v>188</v>
          </cell>
          <cell r="W626">
            <v>688</v>
          </cell>
          <cell r="X626">
            <v>607</v>
          </cell>
          <cell r="Y626">
            <v>504</v>
          </cell>
          <cell r="Z626">
            <v>434</v>
          </cell>
          <cell r="AA626">
            <v>364</v>
          </cell>
          <cell r="AB626">
            <v>256</v>
          </cell>
          <cell r="AC626">
            <v>147</v>
          </cell>
        </row>
        <row r="627">
          <cell r="A627" t="str">
            <v>8-10-28</v>
          </cell>
          <cell r="B627">
            <v>1752</v>
          </cell>
          <cell r="C627">
            <v>1527</v>
          </cell>
          <cell r="D627">
            <v>1237</v>
          </cell>
          <cell r="E627">
            <v>1054</v>
          </cell>
          <cell r="F627">
            <v>871</v>
          </cell>
          <cell r="G627">
            <v>604</v>
          </cell>
          <cell r="H627">
            <v>336</v>
          </cell>
          <cell r="I627">
            <v>1153</v>
          </cell>
          <cell r="J627">
            <v>997</v>
          </cell>
          <cell r="K627">
            <v>800</v>
          </cell>
          <cell r="L627">
            <v>680</v>
          </cell>
          <cell r="M627">
            <v>559</v>
          </cell>
          <cell r="N627">
            <v>387</v>
          </cell>
          <cell r="O627">
            <v>214</v>
          </cell>
          <cell r="P627">
            <v>1313</v>
          </cell>
          <cell r="Q627">
            <v>1168</v>
          </cell>
          <cell r="R627">
            <v>968</v>
          </cell>
          <cell r="S627">
            <v>838</v>
          </cell>
          <cell r="T627">
            <v>708</v>
          </cell>
          <cell r="U627">
            <v>501</v>
          </cell>
          <cell r="V627">
            <v>293</v>
          </cell>
          <cell r="W627">
            <v>864</v>
          </cell>
          <cell r="X627">
            <v>763</v>
          </cell>
          <cell r="Y627">
            <v>626</v>
          </cell>
          <cell r="Z627">
            <v>540</v>
          </cell>
          <cell r="AA627">
            <v>454</v>
          </cell>
          <cell r="AB627">
            <v>320</v>
          </cell>
          <cell r="AC627">
            <v>186</v>
          </cell>
        </row>
        <row r="628">
          <cell r="A628" t="str">
            <v>8-11-28</v>
          </cell>
          <cell r="B628">
            <v>1626</v>
          </cell>
          <cell r="C628">
            <v>1423</v>
          </cell>
          <cell r="D628">
            <v>1158</v>
          </cell>
          <cell r="E628">
            <v>989</v>
          </cell>
          <cell r="F628">
            <v>819</v>
          </cell>
          <cell r="G628">
            <v>567</v>
          </cell>
          <cell r="H628">
            <v>315</v>
          </cell>
          <cell r="I628">
            <v>1106</v>
          </cell>
          <cell r="J628">
            <v>957</v>
          </cell>
          <cell r="K628">
            <v>770</v>
          </cell>
          <cell r="L628">
            <v>654</v>
          </cell>
          <cell r="M628">
            <v>538</v>
          </cell>
          <cell r="N628">
            <v>371</v>
          </cell>
          <cell r="O628">
            <v>204</v>
          </cell>
          <cell r="P628">
            <v>1219</v>
          </cell>
          <cell r="Q628">
            <v>1089</v>
          </cell>
          <cell r="R628">
            <v>906</v>
          </cell>
          <cell r="S628">
            <v>786</v>
          </cell>
          <cell r="T628">
            <v>665</v>
          </cell>
          <cell r="U628">
            <v>470</v>
          </cell>
          <cell r="V628">
            <v>275</v>
          </cell>
          <cell r="W628">
            <v>829</v>
          </cell>
          <cell r="X628">
            <v>732</v>
          </cell>
          <cell r="Y628">
            <v>602</v>
          </cell>
          <cell r="Z628">
            <v>520</v>
          </cell>
          <cell r="AA628">
            <v>437</v>
          </cell>
          <cell r="AB628">
            <v>308</v>
          </cell>
          <cell r="AC628">
            <v>178</v>
          </cell>
        </row>
        <row r="629">
          <cell r="A629" t="str">
            <v>8-12-28</v>
          </cell>
          <cell r="B629">
            <v>1498</v>
          </cell>
          <cell r="C629">
            <v>1317</v>
          </cell>
          <cell r="D629">
            <v>1076</v>
          </cell>
          <cell r="E629">
            <v>919</v>
          </cell>
          <cell r="F629">
            <v>762</v>
          </cell>
          <cell r="G629">
            <v>528</v>
          </cell>
          <cell r="H629">
            <v>294</v>
          </cell>
          <cell r="I629">
            <v>1059</v>
          </cell>
          <cell r="J629">
            <v>918</v>
          </cell>
          <cell r="K629">
            <v>739</v>
          </cell>
          <cell r="L629">
            <v>628</v>
          </cell>
          <cell r="M629">
            <v>516</v>
          </cell>
          <cell r="N629">
            <v>357</v>
          </cell>
          <cell r="O629">
            <v>197</v>
          </cell>
          <cell r="P629">
            <v>1123</v>
          </cell>
          <cell r="Q629">
            <v>1008</v>
          </cell>
          <cell r="R629">
            <v>842</v>
          </cell>
          <cell r="S629">
            <v>731</v>
          </cell>
          <cell r="T629">
            <v>619</v>
          </cell>
          <cell r="U629">
            <v>438</v>
          </cell>
          <cell r="V629">
            <v>256</v>
          </cell>
          <cell r="W629">
            <v>794</v>
          </cell>
          <cell r="X629">
            <v>703</v>
          </cell>
          <cell r="Y629">
            <v>578</v>
          </cell>
          <cell r="Z629">
            <v>499</v>
          </cell>
          <cell r="AA629">
            <v>419</v>
          </cell>
          <cell r="AB629">
            <v>295</v>
          </cell>
          <cell r="AC629">
            <v>171</v>
          </cell>
        </row>
        <row r="630">
          <cell r="A630" t="str">
            <v>8-13-28</v>
          </cell>
          <cell r="B630">
            <v>1364</v>
          </cell>
          <cell r="C630">
            <v>1205</v>
          </cell>
          <cell r="D630">
            <v>988</v>
          </cell>
          <cell r="E630">
            <v>846</v>
          </cell>
          <cell r="F630">
            <v>703</v>
          </cell>
          <cell r="G630">
            <v>487</v>
          </cell>
          <cell r="H630">
            <v>270</v>
          </cell>
          <cell r="I630">
            <v>1010</v>
          </cell>
          <cell r="J630">
            <v>878</v>
          </cell>
          <cell r="K630">
            <v>708</v>
          </cell>
          <cell r="L630">
            <v>602</v>
          </cell>
          <cell r="M630">
            <v>495</v>
          </cell>
          <cell r="N630">
            <v>341</v>
          </cell>
          <cell r="O630">
            <v>187</v>
          </cell>
          <cell r="P630">
            <v>1023</v>
          </cell>
          <cell r="Q630">
            <v>922</v>
          </cell>
          <cell r="R630">
            <v>774</v>
          </cell>
          <cell r="S630">
            <v>673</v>
          </cell>
          <cell r="T630">
            <v>571</v>
          </cell>
          <cell r="U630">
            <v>404</v>
          </cell>
          <cell r="V630">
            <v>236</v>
          </cell>
          <cell r="W630">
            <v>758</v>
          </cell>
          <cell r="X630">
            <v>672</v>
          </cell>
          <cell r="Y630">
            <v>555</v>
          </cell>
          <cell r="Z630">
            <v>479</v>
          </cell>
          <cell r="AA630">
            <v>402</v>
          </cell>
          <cell r="AB630">
            <v>283</v>
          </cell>
          <cell r="AC630">
            <v>163</v>
          </cell>
        </row>
        <row r="631">
          <cell r="A631" t="str">
            <v>8-14-28</v>
          </cell>
          <cell r="B631">
            <v>1222</v>
          </cell>
          <cell r="C631">
            <v>1085</v>
          </cell>
          <cell r="D631">
            <v>895</v>
          </cell>
          <cell r="E631">
            <v>767</v>
          </cell>
          <cell r="F631">
            <v>638</v>
          </cell>
          <cell r="G631">
            <v>442</v>
          </cell>
          <cell r="H631">
            <v>245</v>
          </cell>
          <cell r="I631">
            <v>961</v>
          </cell>
          <cell r="J631">
            <v>838</v>
          </cell>
          <cell r="K631">
            <v>676</v>
          </cell>
          <cell r="L631">
            <v>575</v>
          </cell>
          <cell r="M631">
            <v>473</v>
          </cell>
          <cell r="N631">
            <v>326</v>
          </cell>
          <cell r="O631">
            <v>178</v>
          </cell>
          <cell r="P631">
            <v>916</v>
          </cell>
          <cell r="Q631">
            <v>830</v>
          </cell>
          <cell r="R631">
            <v>700</v>
          </cell>
          <cell r="S631">
            <v>609</v>
          </cell>
          <cell r="T631">
            <v>518</v>
          </cell>
          <cell r="U631">
            <v>366</v>
          </cell>
          <cell r="V631">
            <v>213</v>
          </cell>
          <cell r="W631">
            <v>721</v>
          </cell>
          <cell r="X631">
            <v>641</v>
          </cell>
          <cell r="Y631">
            <v>529</v>
          </cell>
          <cell r="Z631">
            <v>457</v>
          </cell>
          <cell r="AA631">
            <v>384</v>
          </cell>
          <cell r="AB631">
            <v>269</v>
          </cell>
          <cell r="AC631">
            <v>154</v>
          </cell>
        </row>
        <row r="632">
          <cell r="A632" t="str">
            <v>8-15-28</v>
          </cell>
          <cell r="B632">
            <v>1077</v>
          </cell>
          <cell r="C632">
            <v>952</v>
          </cell>
          <cell r="D632">
            <v>790</v>
          </cell>
          <cell r="E632">
            <v>678</v>
          </cell>
          <cell r="F632">
            <v>565</v>
          </cell>
          <cell r="G632">
            <v>390</v>
          </cell>
          <cell r="H632">
            <v>215</v>
          </cell>
          <cell r="I632">
            <v>917</v>
          </cell>
          <cell r="J632">
            <v>793</v>
          </cell>
          <cell r="K632">
            <v>643</v>
          </cell>
          <cell r="L632">
            <v>546</v>
          </cell>
          <cell r="M632">
            <v>448</v>
          </cell>
          <cell r="N632">
            <v>308</v>
          </cell>
          <cell r="O632">
            <v>168</v>
          </cell>
          <cell r="P632">
            <v>807</v>
          </cell>
          <cell r="Q632">
            <v>729</v>
          </cell>
          <cell r="R632">
            <v>618</v>
          </cell>
          <cell r="S632">
            <v>539</v>
          </cell>
          <cell r="T632">
            <v>459</v>
          </cell>
          <cell r="U632">
            <v>323</v>
          </cell>
          <cell r="V632">
            <v>187</v>
          </cell>
          <cell r="W632">
            <v>687</v>
          </cell>
          <cell r="X632">
            <v>607</v>
          </cell>
          <cell r="Y632">
            <v>503</v>
          </cell>
          <cell r="Z632">
            <v>434</v>
          </cell>
          <cell r="AA632">
            <v>364</v>
          </cell>
          <cell r="AB632">
            <v>255</v>
          </cell>
          <cell r="AC632">
            <v>146</v>
          </cell>
        </row>
        <row r="633">
          <cell r="A633" t="str">
            <v>8-16-28</v>
          </cell>
          <cell r="B633">
            <v>905</v>
          </cell>
          <cell r="C633">
            <v>810</v>
          </cell>
          <cell r="D633">
            <v>675</v>
          </cell>
          <cell r="E633">
            <v>580</v>
          </cell>
          <cell r="F633">
            <v>485</v>
          </cell>
          <cell r="G633">
            <v>334</v>
          </cell>
          <cell r="H633">
            <v>182</v>
          </cell>
          <cell r="I633">
            <v>852</v>
          </cell>
          <cell r="J633">
            <v>748</v>
          </cell>
          <cell r="K633">
            <v>606</v>
          </cell>
          <cell r="L633">
            <v>515</v>
          </cell>
          <cell r="M633">
            <v>424</v>
          </cell>
          <cell r="N633">
            <v>290</v>
          </cell>
          <cell r="O633">
            <v>156</v>
          </cell>
          <cell r="P633">
            <v>679</v>
          </cell>
          <cell r="Q633">
            <v>620</v>
          </cell>
          <cell r="R633">
            <v>529</v>
          </cell>
          <cell r="S633">
            <v>462</v>
          </cell>
          <cell r="T633">
            <v>394</v>
          </cell>
          <cell r="U633">
            <v>277</v>
          </cell>
          <cell r="V633">
            <v>159</v>
          </cell>
          <cell r="W633">
            <v>639</v>
          </cell>
          <cell r="X633">
            <v>573</v>
          </cell>
          <cell r="Y633">
            <v>475</v>
          </cell>
          <cell r="Z633">
            <v>410</v>
          </cell>
          <cell r="AA633">
            <v>344</v>
          </cell>
          <cell r="AB633">
            <v>240</v>
          </cell>
          <cell r="AC633">
            <v>136</v>
          </cell>
        </row>
        <row r="634">
          <cell r="A634" t="str">
            <v>9-11-28</v>
          </cell>
          <cell r="B634">
            <v>1622</v>
          </cell>
          <cell r="C634">
            <v>1418</v>
          </cell>
          <cell r="D634">
            <v>1150</v>
          </cell>
          <cell r="E634">
            <v>981</v>
          </cell>
          <cell r="F634">
            <v>811</v>
          </cell>
          <cell r="G634">
            <v>561</v>
          </cell>
          <cell r="H634">
            <v>311</v>
          </cell>
          <cell r="I634">
            <v>1104</v>
          </cell>
          <cell r="J634">
            <v>955</v>
          </cell>
          <cell r="K634">
            <v>767</v>
          </cell>
          <cell r="L634">
            <v>651</v>
          </cell>
          <cell r="M634">
            <v>535</v>
          </cell>
          <cell r="N634">
            <v>369</v>
          </cell>
          <cell r="O634">
            <v>203</v>
          </cell>
          <cell r="P634">
            <v>1216</v>
          </cell>
          <cell r="Q634">
            <v>1085</v>
          </cell>
          <cell r="R634">
            <v>900</v>
          </cell>
          <cell r="S634">
            <v>780</v>
          </cell>
          <cell r="T634">
            <v>659</v>
          </cell>
          <cell r="U634">
            <v>465</v>
          </cell>
          <cell r="V634">
            <v>271</v>
          </cell>
          <cell r="W634">
            <v>827</v>
          </cell>
          <cell r="X634">
            <v>731</v>
          </cell>
          <cell r="Y634">
            <v>600</v>
          </cell>
          <cell r="Z634">
            <v>518</v>
          </cell>
          <cell r="AA634">
            <v>435</v>
          </cell>
          <cell r="AB634">
            <v>306</v>
          </cell>
          <cell r="AC634">
            <v>177</v>
          </cell>
        </row>
        <row r="635">
          <cell r="A635" t="str">
            <v>9-12-28</v>
          </cell>
          <cell r="B635">
            <v>1492</v>
          </cell>
          <cell r="C635">
            <v>1309</v>
          </cell>
          <cell r="D635">
            <v>1067</v>
          </cell>
          <cell r="E635">
            <v>912</v>
          </cell>
          <cell r="F635">
            <v>756</v>
          </cell>
          <cell r="G635">
            <v>523</v>
          </cell>
          <cell r="H635">
            <v>290</v>
          </cell>
          <cell r="I635">
            <v>1056</v>
          </cell>
          <cell r="J635">
            <v>915</v>
          </cell>
          <cell r="K635">
            <v>736</v>
          </cell>
          <cell r="L635">
            <v>625</v>
          </cell>
          <cell r="M635">
            <v>514</v>
          </cell>
          <cell r="N635">
            <v>355</v>
          </cell>
          <cell r="O635">
            <v>195</v>
          </cell>
          <cell r="P635">
            <v>1118</v>
          </cell>
          <cell r="Q635">
            <v>1002</v>
          </cell>
          <cell r="R635">
            <v>835</v>
          </cell>
          <cell r="S635">
            <v>725</v>
          </cell>
          <cell r="T635">
            <v>614</v>
          </cell>
          <cell r="U635">
            <v>433</v>
          </cell>
          <cell r="V635">
            <v>252</v>
          </cell>
          <cell r="W635">
            <v>791</v>
          </cell>
          <cell r="X635">
            <v>700</v>
          </cell>
          <cell r="Y635">
            <v>576</v>
          </cell>
          <cell r="Z635">
            <v>497</v>
          </cell>
          <cell r="AA635">
            <v>417</v>
          </cell>
          <cell r="AB635">
            <v>293</v>
          </cell>
          <cell r="AC635">
            <v>169</v>
          </cell>
        </row>
        <row r="636">
          <cell r="A636" t="str">
            <v>9-13-28</v>
          </cell>
          <cell r="B636">
            <v>1357</v>
          </cell>
          <cell r="C636">
            <v>1198</v>
          </cell>
          <cell r="D636">
            <v>981</v>
          </cell>
          <cell r="E636">
            <v>839</v>
          </cell>
          <cell r="F636">
            <v>697</v>
          </cell>
          <cell r="G636">
            <v>482</v>
          </cell>
          <cell r="H636">
            <v>267</v>
          </cell>
          <cell r="I636">
            <v>1008</v>
          </cell>
          <cell r="J636">
            <v>875</v>
          </cell>
          <cell r="K636">
            <v>706</v>
          </cell>
          <cell r="L636">
            <v>600</v>
          </cell>
          <cell r="M636">
            <v>493</v>
          </cell>
          <cell r="N636">
            <v>339</v>
          </cell>
          <cell r="O636">
            <v>185</v>
          </cell>
          <cell r="P636">
            <v>1017</v>
          </cell>
          <cell r="Q636">
            <v>917</v>
          </cell>
          <cell r="R636">
            <v>768</v>
          </cell>
          <cell r="S636">
            <v>667</v>
          </cell>
          <cell r="T636">
            <v>566</v>
          </cell>
          <cell r="U636">
            <v>400</v>
          </cell>
          <cell r="V636">
            <v>233</v>
          </cell>
          <cell r="W636">
            <v>756</v>
          </cell>
          <cell r="X636">
            <v>670</v>
          </cell>
          <cell r="Y636">
            <v>553</v>
          </cell>
          <cell r="Z636">
            <v>477</v>
          </cell>
          <cell r="AA636">
            <v>400</v>
          </cell>
          <cell r="AB636">
            <v>281</v>
          </cell>
          <cell r="AC636">
            <v>162</v>
          </cell>
        </row>
        <row r="637">
          <cell r="A637" t="str">
            <v>9-14-28</v>
          </cell>
          <cell r="B637">
            <v>1217</v>
          </cell>
          <cell r="C637">
            <v>1079</v>
          </cell>
          <cell r="D637">
            <v>890</v>
          </cell>
          <cell r="E637">
            <v>762</v>
          </cell>
          <cell r="F637">
            <v>634</v>
          </cell>
          <cell r="G637">
            <v>438</v>
          </cell>
          <cell r="H637">
            <v>242</v>
          </cell>
          <cell r="I637">
            <v>959</v>
          </cell>
          <cell r="J637">
            <v>835</v>
          </cell>
          <cell r="K637">
            <v>675</v>
          </cell>
          <cell r="L637">
            <v>573</v>
          </cell>
          <cell r="M637">
            <v>471</v>
          </cell>
          <cell r="N637">
            <v>324</v>
          </cell>
          <cell r="O637">
            <v>176</v>
          </cell>
          <cell r="P637">
            <v>912</v>
          </cell>
          <cell r="Q637">
            <v>826</v>
          </cell>
          <cell r="R637">
            <v>696</v>
          </cell>
          <cell r="S637">
            <v>606</v>
          </cell>
          <cell r="T637">
            <v>515</v>
          </cell>
          <cell r="U637">
            <v>363</v>
          </cell>
          <cell r="V637">
            <v>211</v>
          </cell>
          <cell r="W637">
            <v>719</v>
          </cell>
          <cell r="X637">
            <v>639</v>
          </cell>
          <cell r="Y637">
            <v>527</v>
          </cell>
          <cell r="Z637">
            <v>455</v>
          </cell>
          <cell r="AA637">
            <v>383</v>
          </cell>
          <cell r="AB637">
            <v>269</v>
          </cell>
          <cell r="AC637">
            <v>154</v>
          </cell>
        </row>
        <row r="638">
          <cell r="A638" t="str">
            <v>9-15-28</v>
          </cell>
          <cell r="B638">
            <v>1073</v>
          </cell>
          <cell r="C638">
            <v>948</v>
          </cell>
          <cell r="D638">
            <v>785</v>
          </cell>
          <cell r="E638">
            <v>674</v>
          </cell>
          <cell r="F638">
            <v>562</v>
          </cell>
          <cell r="G638">
            <v>389</v>
          </cell>
          <cell r="H638">
            <v>216</v>
          </cell>
          <cell r="I638">
            <v>916</v>
          </cell>
          <cell r="J638">
            <v>792</v>
          </cell>
          <cell r="K638">
            <v>641</v>
          </cell>
          <cell r="L638">
            <v>545</v>
          </cell>
          <cell r="M638">
            <v>448</v>
          </cell>
          <cell r="N638">
            <v>308</v>
          </cell>
          <cell r="O638">
            <v>168</v>
          </cell>
          <cell r="P638">
            <v>804</v>
          </cell>
          <cell r="Q638">
            <v>725</v>
          </cell>
          <cell r="R638">
            <v>614</v>
          </cell>
          <cell r="S638">
            <v>535</v>
          </cell>
          <cell r="T638">
            <v>456</v>
          </cell>
          <cell r="U638">
            <v>322</v>
          </cell>
          <cell r="V638">
            <v>188</v>
          </cell>
          <cell r="W638">
            <v>686</v>
          </cell>
          <cell r="X638">
            <v>606</v>
          </cell>
          <cell r="Y638">
            <v>502</v>
          </cell>
          <cell r="Z638">
            <v>433</v>
          </cell>
          <cell r="AA638">
            <v>363</v>
          </cell>
          <cell r="AB638">
            <v>255</v>
          </cell>
          <cell r="AC638">
            <v>147</v>
          </cell>
        </row>
        <row r="639">
          <cell r="A639" t="str">
            <v>9-16-28</v>
          </cell>
          <cell r="B639">
            <v>907</v>
          </cell>
          <cell r="C639">
            <v>807</v>
          </cell>
          <cell r="D639">
            <v>672</v>
          </cell>
          <cell r="E639">
            <v>578</v>
          </cell>
          <cell r="F639">
            <v>483</v>
          </cell>
          <cell r="G639">
            <v>332</v>
          </cell>
          <cell r="H639">
            <v>181</v>
          </cell>
          <cell r="I639">
            <v>861</v>
          </cell>
          <cell r="J639">
            <v>748</v>
          </cell>
          <cell r="K639">
            <v>606</v>
          </cell>
          <cell r="L639">
            <v>515</v>
          </cell>
          <cell r="M639">
            <v>423</v>
          </cell>
          <cell r="N639">
            <v>290</v>
          </cell>
          <cell r="O639">
            <v>156</v>
          </cell>
          <cell r="P639">
            <v>680</v>
          </cell>
          <cell r="Q639">
            <v>617</v>
          </cell>
          <cell r="R639">
            <v>526</v>
          </cell>
          <cell r="S639">
            <v>459</v>
          </cell>
          <cell r="T639">
            <v>392</v>
          </cell>
          <cell r="U639">
            <v>275</v>
          </cell>
          <cell r="V639">
            <v>158</v>
          </cell>
          <cell r="W639">
            <v>646</v>
          </cell>
          <cell r="X639">
            <v>572</v>
          </cell>
          <cell r="Y639">
            <v>475</v>
          </cell>
          <cell r="Z639">
            <v>409</v>
          </cell>
          <cell r="AA639">
            <v>343</v>
          </cell>
          <cell r="AB639">
            <v>240</v>
          </cell>
          <cell r="AC639">
            <v>136</v>
          </cell>
        </row>
        <row r="640">
          <cell r="A640" t="str">
            <v>9-17-28</v>
          </cell>
          <cell r="B640">
            <v>843</v>
          </cell>
          <cell r="C640">
            <v>740</v>
          </cell>
          <cell r="D640">
            <v>601</v>
          </cell>
          <cell r="E640">
            <v>511</v>
          </cell>
          <cell r="F640">
            <v>421</v>
          </cell>
          <cell r="G640">
            <v>289</v>
          </cell>
          <cell r="H640">
            <v>157</v>
          </cell>
          <cell r="I640">
            <v>843</v>
          </cell>
          <cell r="J640">
            <v>740</v>
          </cell>
          <cell r="K640">
            <v>601</v>
          </cell>
          <cell r="L640">
            <v>511</v>
          </cell>
          <cell r="M640">
            <v>421</v>
          </cell>
          <cell r="N640">
            <v>289</v>
          </cell>
          <cell r="O640">
            <v>157</v>
          </cell>
          <cell r="P640">
            <v>632</v>
          </cell>
          <cell r="Q640">
            <v>566</v>
          </cell>
          <cell r="R640">
            <v>471</v>
          </cell>
          <cell r="S640">
            <v>407</v>
          </cell>
          <cell r="T640">
            <v>342</v>
          </cell>
          <cell r="U640">
            <v>240</v>
          </cell>
          <cell r="V640">
            <v>137</v>
          </cell>
          <cell r="W640">
            <v>632</v>
          </cell>
          <cell r="X640">
            <v>566</v>
          </cell>
          <cell r="Y640">
            <v>471</v>
          </cell>
          <cell r="Z640">
            <v>407</v>
          </cell>
          <cell r="AA640">
            <v>342</v>
          </cell>
          <cell r="AB640">
            <v>240</v>
          </cell>
          <cell r="AC640">
            <v>137</v>
          </cell>
        </row>
        <row r="641">
          <cell r="A641" t="str">
            <v>10-12-28</v>
          </cell>
          <cell r="B641">
            <v>1485</v>
          </cell>
          <cell r="C641">
            <v>1302</v>
          </cell>
          <cell r="D641">
            <v>1060</v>
          </cell>
          <cell r="E641">
            <v>904</v>
          </cell>
          <cell r="F641">
            <v>747</v>
          </cell>
          <cell r="G641">
            <v>516</v>
          </cell>
          <cell r="H641">
            <v>285</v>
          </cell>
          <cell r="I641">
            <v>1054</v>
          </cell>
          <cell r="J641">
            <v>912</v>
          </cell>
          <cell r="K641">
            <v>733</v>
          </cell>
          <cell r="L641">
            <v>622</v>
          </cell>
          <cell r="M641">
            <v>511</v>
          </cell>
          <cell r="N641">
            <v>352</v>
          </cell>
          <cell r="O641">
            <v>193</v>
          </cell>
          <cell r="P641">
            <v>1113</v>
          </cell>
          <cell r="Q641">
            <v>996</v>
          </cell>
          <cell r="R641">
            <v>830</v>
          </cell>
          <cell r="S641">
            <v>719</v>
          </cell>
          <cell r="T641">
            <v>607</v>
          </cell>
          <cell r="U641">
            <v>428</v>
          </cell>
          <cell r="V641">
            <v>249</v>
          </cell>
          <cell r="W641">
            <v>790</v>
          </cell>
          <cell r="X641">
            <v>698</v>
          </cell>
          <cell r="Y641">
            <v>574</v>
          </cell>
          <cell r="Z641">
            <v>495</v>
          </cell>
          <cell r="AA641">
            <v>416</v>
          </cell>
          <cell r="AB641">
            <v>292</v>
          </cell>
          <cell r="AC641">
            <v>168</v>
          </cell>
        </row>
        <row r="642">
          <cell r="A642" t="str">
            <v>10-13-28</v>
          </cell>
          <cell r="B642">
            <v>1349</v>
          </cell>
          <cell r="C642">
            <v>1188</v>
          </cell>
          <cell r="D642">
            <v>973</v>
          </cell>
          <cell r="E642">
            <v>832</v>
          </cell>
          <cell r="F642">
            <v>690</v>
          </cell>
          <cell r="G642">
            <v>477</v>
          </cell>
          <cell r="H642">
            <v>263</v>
          </cell>
          <cell r="I642">
            <v>1005</v>
          </cell>
          <cell r="J642">
            <v>872</v>
          </cell>
          <cell r="K642">
            <v>704</v>
          </cell>
          <cell r="L642">
            <v>598</v>
          </cell>
          <cell r="M642">
            <v>491</v>
          </cell>
          <cell r="N642">
            <v>338</v>
          </cell>
          <cell r="O642">
            <v>184</v>
          </cell>
          <cell r="P642">
            <v>1012</v>
          </cell>
          <cell r="Q642">
            <v>909</v>
          </cell>
          <cell r="R642">
            <v>761</v>
          </cell>
          <cell r="S642">
            <v>661</v>
          </cell>
          <cell r="T642">
            <v>560</v>
          </cell>
          <cell r="U642">
            <v>395</v>
          </cell>
          <cell r="V642">
            <v>229</v>
          </cell>
          <cell r="W642">
            <v>754</v>
          </cell>
          <cell r="X642">
            <v>668</v>
          </cell>
          <cell r="Y642">
            <v>551</v>
          </cell>
          <cell r="Z642">
            <v>475</v>
          </cell>
          <cell r="AA642">
            <v>398</v>
          </cell>
          <cell r="AB642">
            <v>279</v>
          </cell>
          <cell r="AC642">
            <v>160</v>
          </cell>
        </row>
        <row r="643">
          <cell r="A643" t="str">
            <v>10-14-28</v>
          </cell>
          <cell r="B643">
            <v>1208</v>
          </cell>
          <cell r="C643">
            <v>1070</v>
          </cell>
          <cell r="D643">
            <v>881</v>
          </cell>
          <cell r="E643">
            <v>754</v>
          </cell>
          <cell r="F643">
            <v>627</v>
          </cell>
          <cell r="G643">
            <v>434</v>
          </cell>
          <cell r="H643">
            <v>240</v>
          </cell>
          <cell r="I643">
            <v>956</v>
          </cell>
          <cell r="J643">
            <v>832</v>
          </cell>
          <cell r="K643">
            <v>672</v>
          </cell>
          <cell r="L643">
            <v>571</v>
          </cell>
          <cell r="M643">
            <v>469</v>
          </cell>
          <cell r="N643">
            <v>323</v>
          </cell>
          <cell r="O643">
            <v>176</v>
          </cell>
          <cell r="P643">
            <v>906</v>
          </cell>
          <cell r="Q643">
            <v>819</v>
          </cell>
          <cell r="R643">
            <v>690</v>
          </cell>
          <cell r="S643">
            <v>600</v>
          </cell>
          <cell r="T643">
            <v>509</v>
          </cell>
          <cell r="U643">
            <v>359</v>
          </cell>
          <cell r="V643">
            <v>209</v>
          </cell>
          <cell r="W643">
            <v>717</v>
          </cell>
          <cell r="X643">
            <v>637</v>
          </cell>
          <cell r="Y643">
            <v>526</v>
          </cell>
          <cell r="Z643">
            <v>454</v>
          </cell>
          <cell r="AA643">
            <v>381</v>
          </cell>
          <cell r="AB643">
            <v>267</v>
          </cell>
          <cell r="AC643">
            <v>153</v>
          </cell>
        </row>
        <row r="644">
          <cell r="A644" t="str">
            <v>10-15-28</v>
          </cell>
          <cell r="B644">
            <v>1068</v>
          </cell>
          <cell r="C644">
            <v>942</v>
          </cell>
          <cell r="D644">
            <v>780</v>
          </cell>
          <cell r="E644">
            <v>669</v>
          </cell>
          <cell r="F644">
            <v>558</v>
          </cell>
          <cell r="G644">
            <v>385</v>
          </cell>
          <cell r="H644">
            <v>212</v>
          </cell>
          <cell r="I644">
            <v>914</v>
          </cell>
          <cell r="J644">
            <v>789</v>
          </cell>
          <cell r="K644">
            <v>639</v>
          </cell>
          <cell r="L644">
            <v>543</v>
          </cell>
          <cell r="M644">
            <v>446</v>
          </cell>
          <cell r="N644">
            <v>306</v>
          </cell>
          <cell r="O644">
            <v>165</v>
          </cell>
          <cell r="P644">
            <v>800</v>
          </cell>
          <cell r="Q644">
            <v>721</v>
          </cell>
          <cell r="R644">
            <v>611</v>
          </cell>
          <cell r="S644">
            <v>532</v>
          </cell>
          <cell r="T644">
            <v>453</v>
          </cell>
          <cell r="U644">
            <v>319</v>
          </cell>
          <cell r="V644">
            <v>185</v>
          </cell>
          <cell r="W644">
            <v>685</v>
          </cell>
          <cell r="X644">
            <v>604</v>
          </cell>
          <cell r="Y644">
            <v>500</v>
          </cell>
          <cell r="Z644">
            <v>431</v>
          </cell>
          <cell r="AA644">
            <v>362</v>
          </cell>
          <cell r="AB644">
            <v>253</v>
          </cell>
          <cell r="AC644">
            <v>144</v>
          </cell>
        </row>
        <row r="645">
          <cell r="A645" t="str">
            <v>10-16-28</v>
          </cell>
          <cell r="B645">
            <v>902</v>
          </cell>
          <cell r="C645">
            <v>802</v>
          </cell>
          <cell r="D645">
            <v>668</v>
          </cell>
          <cell r="E645">
            <v>574</v>
          </cell>
          <cell r="F645">
            <v>479</v>
          </cell>
          <cell r="G645">
            <v>330</v>
          </cell>
          <cell r="H645">
            <v>181</v>
          </cell>
          <cell r="I645">
            <v>861</v>
          </cell>
          <cell r="J645">
            <v>746</v>
          </cell>
          <cell r="K645">
            <v>605</v>
          </cell>
          <cell r="L645">
            <v>513</v>
          </cell>
          <cell r="M645">
            <v>421</v>
          </cell>
          <cell r="N645">
            <v>289</v>
          </cell>
          <cell r="O645">
            <v>156</v>
          </cell>
          <cell r="P645">
            <v>676</v>
          </cell>
          <cell r="Q645">
            <v>614</v>
          </cell>
          <cell r="R645">
            <v>523</v>
          </cell>
          <cell r="S645">
            <v>456</v>
          </cell>
          <cell r="T645">
            <v>389</v>
          </cell>
          <cell r="U645">
            <v>274</v>
          </cell>
          <cell r="V645">
            <v>158</v>
          </cell>
          <cell r="W645">
            <v>645</v>
          </cell>
          <cell r="X645">
            <v>571</v>
          </cell>
          <cell r="Y645">
            <v>473</v>
          </cell>
          <cell r="Z645">
            <v>408</v>
          </cell>
          <cell r="AA645">
            <v>342</v>
          </cell>
          <cell r="AB645">
            <v>239</v>
          </cell>
          <cell r="AC645">
            <v>136</v>
          </cell>
        </row>
        <row r="646">
          <cell r="A646" t="str">
            <v>10-17-28</v>
          </cell>
          <cell r="B646">
            <v>835</v>
          </cell>
          <cell r="C646">
            <v>741</v>
          </cell>
          <cell r="D646">
            <v>595</v>
          </cell>
          <cell r="E646">
            <v>506</v>
          </cell>
          <cell r="F646">
            <v>417</v>
          </cell>
          <cell r="G646">
            <v>286</v>
          </cell>
          <cell r="H646">
            <v>155</v>
          </cell>
          <cell r="I646">
            <v>835</v>
          </cell>
          <cell r="J646">
            <v>741</v>
          </cell>
          <cell r="K646">
            <v>595</v>
          </cell>
          <cell r="L646">
            <v>506</v>
          </cell>
          <cell r="M646">
            <v>417</v>
          </cell>
          <cell r="N646">
            <v>286</v>
          </cell>
          <cell r="O646">
            <v>155</v>
          </cell>
          <cell r="P646">
            <v>626</v>
          </cell>
          <cell r="Q646">
            <v>567</v>
          </cell>
          <cell r="R646">
            <v>466</v>
          </cell>
          <cell r="S646">
            <v>403</v>
          </cell>
          <cell r="T646">
            <v>339</v>
          </cell>
          <cell r="U646">
            <v>237</v>
          </cell>
          <cell r="V646">
            <v>135</v>
          </cell>
          <cell r="W646">
            <v>626</v>
          </cell>
          <cell r="X646">
            <v>567</v>
          </cell>
          <cell r="Y646">
            <v>466</v>
          </cell>
          <cell r="Z646">
            <v>403</v>
          </cell>
          <cell r="AA646">
            <v>339</v>
          </cell>
          <cell r="AB646">
            <v>237</v>
          </cell>
          <cell r="AC646">
            <v>135</v>
          </cell>
        </row>
        <row r="647">
          <cell r="A647" t="str">
            <v>10-18-28</v>
          </cell>
          <cell r="B647">
            <v>782</v>
          </cell>
          <cell r="C647">
            <v>696</v>
          </cell>
          <cell r="D647">
            <v>564</v>
          </cell>
          <cell r="E647">
            <v>480</v>
          </cell>
          <cell r="F647">
            <v>395</v>
          </cell>
          <cell r="G647">
            <v>271</v>
          </cell>
          <cell r="H647">
            <v>146</v>
          </cell>
          <cell r="I647">
            <v>782</v>
          </cell>
          <cell r="J647">
            <v>696</v>
          </cell>
          <cell r="K647">
            <v>564</v>
          </cell>
          <cell r="L647">
            <v>480</v>
          </cell>
          <cell r="M647">
            <v>395</v>
          </cell>
          <cell r="N647">
            <v>271</v>
          </cell>
          <cell r="O647">
            <v>146</v>
          </cell>
          <cell r="P647">
            <v>586</v>
          </cell>
          <cell r="Q647">
            <v>533</v>
          </cell>
          <cell r="R647">
            <v>441</v>
          </cell>
          <cell r="S647">
            <v>381</v>
          </cell>
          <cell r="T647">
            <v>321</v>
          </cell>
          <cell r="U647">
            <v>225</v>
          </cell>
          <cell r="V647">
            <v>128</v>
          </cell>
          <cell r="W647">
            <v>586</v>
          </cell>
          <cell r="X647">
            <v>533</v>
          </cell>
          <cell r="Y647">
            <v>441</v>
          </cell>
          <cell r="Z647">
            <v>381</v>
          </cell>
          <cell r="AA647">
            <v>321</v>
          </cell>
          <cell r="AB647">
            <v>225</v>
          </cell>
          <cell r="AC647">
            <v>128</v>
          </cell>
        </row>
        <row r="648">
          <cell r="A648" t="str">
            <v>11-13-28</v>
          </cell>
          <cell r="B648">
            <v>1342</v>
          </cell>
          <cell r="C648">
            <v>1181</v>
          </cell>
          <cell r="D648">
            <v>964</v>
          </cell>
          <cell r="E648">
            <v>823</v>
          </cell>
          <cell r="F648">
            <v>681</v>
          </cell>
          <cell r="G648">
            <v>470</v>
          </cell>
          <cell r="H648">
            <v>259</v>
          </cell>
          <cell r="I648">
            <v>1003</v>
          </cell>
          <cell r="J648">
            <v>870</v>
          </cell>
          <cell r="K648">
            <v>700</v>
          </cell>
          <cell r="L648">
            <v>594</v>
          </cell>
          <cell r="M648">
            <v>488</v>
          </cell>
          <cell r="N648">
            <v>335</v>
          </cell>
          <cell r="O648">
            <v>182</v>
          </cell>
          <cell r="P648">
            <v>1006</v>
          </cell>
          <cell r="Q648">
            <v>903</v>
          </cell>
          <cell r="R648">
            <v>754</v>
          </cell>
          <cell r="S648">
            <v>654</v>
          </cell>
          <cell r="T648">
            <v>553</v>
          </cell>
          <cell r="U648">
            <v>389</v>
          </cell>
          <cell r="V648">
            <v>225</v>
          </cell>
          <cell r="W648">
            <v>752</v>
          </cell>
          <cell r="X648">
            <v>665</v>
          </cell>
          <cell r="Y648">
            <v>547</v>
          </cell>
          <cell r="Z648">
            <v>472</v>
          </cell>
          <cell r="AA648">
            <v>396</v>
          </cell>
          <cell r="AB648">
            <v>277</v>
          </cell>
          <cell r="AC648">
            <v>158</v>
          </cell>
        </row>
        <row r="649">
          <cell r="A649" t="str">
            <v>11-14-28</v>
          </cell>
          <cell r="B649">
            <v>1200</v>
          </cell>
          <cell r="C649">
            <v>1061</v>
          </cell>
          <cell r="D649">
            <v>872</v>
          </cell>
          <cell r="E649">
            <v>746</v>
          </cell>
          <cell r="F649">
            <v>619</v>
          </cell>
          <cell r="G649">
            <v>427</v>
          </cell>
          <cell r="H649">
            <v>235</v>
          </cell>
          <cell r="I649">
            <v>954</v>
          </cell>
          <cell r="J649">
            <v>829</v>
          </cell>
          <cell r="K649">
            <v>669</v>
          </cell>
          <cell r="L649">
            <v>568</v>
          </cell>
          <cell r="M649">
            <v>466</v>
          </cell>
          <cell r="N649">
            <v>320</v>
          </cell>
          <cell r="O649">
            <v>174</v>
          </cell>
          <cell r="P649">
            <v>899</v>
          </cell>
          <cell r="Q649">
            <v>812</v>
          </cell>
          <cell r="R649">
            <v>682</v>
          </cell>
          <cell r="S649">
            <v>593</v>
          </cell>
          <cell r="T649">
            <v>503</v>
          </cell>
          <cell r="U649">
            <v>354</v>
          </cell>
          <cell r="V649">
            <v>205</v>
          </cell>
          <cell r="W649">
            <v>715</v>
          </cell>
          <cell r="X649">
            <v>634</v>
          </cell>
          <cell r="Y649">
            <v>523</v>
          </cell>
          <cell r="Z649">
            <v>451</v>
          </cell>
          <cell r="AA649">
            <v>379</v>
          </cell>
          <cell r="AB649">
            <v>265</v>
          </cell>
          <cell r="AC649">
            <v>151</v>
          </cell>
        </row>
        <row r="650">
          <cell r="A650" t="str">
            <v>11-15-28</v>
          </cell>
          <cell r="B650">
            <v>1061</v>
          </cell>
          <cell r="C650">
            <v>936</v>
          </cell>
          <cell r="D650">
            <v>774</v>
          </cell>
          <cell r="E650">
            <v>664</v>
          </cell>
          <cell r="F650">
            <v>553</v>
          </cell>
          <cell r="G650">
            <v>382</v>
          </cell>
          <cell r="H650">
            <v>211</v>
          </cell>
          <cell r="I650">
            <v>912</v>
          </cell>
          <cell r="J650">
            <v>789</v>
          </cell>
          <cell r="K650">
            <v>638</v>
          </cell>
          <cell r="L650">
            <v>541</v>
          </cell>
          <cell r="M650">
            <v>444</v>
          </cell>
          <cell r="N650">
            <v>305</v>
          </cell>
          <cell r="O650">
            <v>165</v>
          </cell>
          <cell r="P650">
            <v>795</v>
          </cell>
          <cell r="Q650">
            <v>716</v>
          </cell>
          <cell r="R650">
            <v>606</v>
          </cell>
          <cell r="S650">
            <v>528</v>
          </cell>
          <cell r="T650">
            <v>449</v>
          </cell>
          <cell r="U650">
            <v>316</v>
          </cell>
          <cell r="V650">
            <v>183</v>
          </cell>
          <cell r="W650">
            <v>683</v>
          </cell>
          <cell r="X650">
            <v>603</v>
          </cell>
          <cell r="Y650">
            <v>499</v>
          </cell>
          <cell r="Z650">
            <v>430</v>
          </cell>
          <cell r="AA650">
            <v>360</v>
          </cell>
          <cell r="AB650">
            <v>252</v>
          </cell>
          <cell r="AC650">
            <v>143</v>
          </cell>
        </row>
        <row r="651">
          <cell r="A651" t="str">
            <v>11-16-28</v>
          </cell>
          <cell r="B651">
            <v>896</v>
          </cell>
          <cell r="C651">
            <v>797</v>
          </cell>
          <cell r="D651">
            <v>663</v>
          </cell>
          <cell r="E651">
            <v>569</v>
          </cell>
          <cell r="F651">
            <v>475</v>
          </cell>
          <cell r="G651">
            <v>328</v>
          </cell>
          <cell r="H651">
            <v>181</v>
          </cell>
          <cell r="I651">
            <v>858</v>
          </cell>
          <cell r="J651">
            <v>745</v>
          </cell>
          <cell r="K651">
            <v>602</v>
          </cell>
          <cell r="L651">
            <v>512</v>
          </cell>
          <cell r="M651">
            <v>421</v>
          </cell>
          <cell r="N651">
            <v>289</v>
          </cell>
          <cell r="O651">
            <v>156</v>
          </cell>
          <cell r="P651">
            <v>672</v>
          </cell>
          <cell r="Q651">
            <v>610</v>
          </cell>
          <cell r="R651">
            <v>519</v>
          </cell>
          <cell r="S651">
            <v>453</v>
          </cell>
          <cell r="T651">
            <v>386</v>
          </cell>
          <cell r="U651">
            <v>272</v>
          </cell>
          <cell r="V651">
            <v>158</v>
          </cell>
          <cell r="W651">
            <v>643</v>
          </cell>
          <cell r="X651">
            <v>570</v>
          </cell>
          <cell r="Y651">
            <v>471</v>
          </cell>
          <cell r="Z651">
            <v>407</v>
          </cell>
          <cell r="AA651">
            <v>342</v>
          </cell>
          <cell r="AB651">
            <v>239</v>
          </cell>
          <cell r="AC651">
            <v>136</v>
          </cell>
        </row>
        <row r="652">
          <cell r="A652" t="str">
            <v>11-17-28</v>
          </cell>
          <cell r="B652">
            <v>828</v>
          </cell>
          <cell r="C652">
            <v>734</v>
          </cell>
          <cell r="D652">
            <v>590</v>
          </cell>
          <cell r="E652">
            <v>502</v>
          </cell>
          <cell r="F652">
            <v>413</v>
          </cell>
          <cell r="G652">
            <v>283</v>
          </cell>
          <cell r="H652">
            <v>152</v>
          </cell>
          <cell r="I652">
            <v>828</v>
          </cell>
          <cell r="J652">
            <v>734</v>
          </cell>
          <cell r="K652">
            <v>590</v>
          </cell>
          <cell r="L652">
            <v>502</v>
          </cell>
          <cell r="M652">
            <v>413</v>
          </cell>
          <cell r="N652">
            <v>283</v>
          </cell>
          <cell r="O652">
            <v>152</v>
          </cell>
          <cell r="P652">
            <v>621</v>
          </cell>
          <cell r="Q652">
            <v>561</v>
          </cell>
          <cell r="R652">
            <v>462</v>
          </cell>
          <cell r="S652">
            <v>399</v>
          </cell>
          <cell r="T652">
            <v>335</v>
          </cell>
          <cell r="U652">
            <v>234</v>
          </cell>
          <cell r="V652">
            <v>133</v>
          </cell>
          <cell r="W652">
            <v>621</v>
          </cell>
          <cell r="X652">
            <v>561</v>
          </cell>
          <cell r="Y652">
            <v>462</v>
          </cell>
          <cell r="Z652">
            <v>399</v>
          </cell>
          <cell r="AA652">
            <v>335</v>
          </cell>
          <cell r="AB652">
            <v>234</v>
          </cell>
          <cell r="AC652">
            <v>133</v>
          </cell>
        </row>
        <row r="653">
          <cell r="A653" t="str">
            <v>11-18-28</v>
          </cell>
          <cell r="B653">
            <v>776</v>
          </cell>
          <cell r="C653">
            <v>690</v>
          </cell>
          <cell r="D653">
            <v>559</v>
          </cell>
          <cell r="E653">
            <v>476</v>
          </cell>
          <cell r="F653">
            <v>392</v>
          </cell>
          <cell r="G653">
            <v>269</v>
          </cell>
          <cell r="H653">
            <v>146</v>
          </cell>
          <cell r="I653">
            <v>776</v>
          </cell>
          <cell r="J653">
            <v>690</v>
          </cell>
          <cell r="K653">
            <v>559</v>
          </cell>
          <cell r="L653">
            <v>476</v>
          </cell>
          <cell r="M653">
            <v>392</v>
          </cell>
          <cell r="N653">
            <v>269</v>
          </cell>
          <cell r="O653">
            <v>146</v>
          </cell>
          <cell r="P653">
            <v>581</v>
          </cell>
          <cell r="Q653">
            <v>528</v>
          </cell>
          <cell r="R653">
            <v>437</v>
          </cell>
          <cell r="S653">
            <v>378</v>
          </cell>
          <cell r="T653">
            <v>319</v>
          </cell>
          <cell r="U653">
            <v>224</v>
          </cell>
          <cell r="V653">
            <v>128</v>
          </cell>
          <cell r="W653">
            <v>581</v>
          </cell>
          <cell r="X653">
            <v>528</v>
          </cell>
          <cell r="Y653">
            <v>437</v>
          </cell>
          <cell r="Z653">
            <v>378</v>
          </cell>
          <cell r="AA653">
            <v>319</v>
          </cell>
          <cell r="AB653">
            <v>224</v>
          </cell>
          <cell r="AC653">
            <v>128</v>
          </cell>
        </row>
        <row r="654">
          <cell r="A654" t="str">
            <v>11-19-28</v>
          </cell>
          <cell r="B654">
            <v>721</v>
          </cell>
          <cell r="C654">
            <v>642</v>
          </cell>
          <cell r="D654">
            <v>528</v>
          </cell>
          <cell r="E654">
            <v>450</v>
          </cell>
          <cell r="F654">
            <v>372</v>
          </cell>
          <cell r="G654">
            <v>254</v>
          </cell>
          <cell r="H654">
            <v>135</v>
          </cell>
          <cell r="I654">
            <v>721</v>
          </cell>
          <cell r="J654">
            <v>642</v>
          </cell>
          <cell r="K654">
            <v>528</v>
          </cell>
          <cell r="L654">
            <v>450</v>
          </cell>
          <cell r="M654">
            <v>372</v>
          </cell>
          <cell r="N654">
            <v>254</v>
          </cell>
          <cell r="O654">
            <v>135</v>
          </cell>
          <cell r="P654">
            <v>540</v>
          </cell>
          <cell r="Q654">
            <v>492</v>
          </cell>
          <cell r="R654">
            <v>413</v>
          </cell>
          <cell r="S654">
            <v>358</v>
          </cell>
          <cell r="T654">
            <v>302</v>
          </cell>
          <cell r="U654">
            <v>210</v>
          </cell>
          <cell r="V654">
            <v>117</v>
          </cell>
          <cell r="W654">
            <v>540</v>
          </cell>
          <cell r="X654">
            <v>492</v>
          </cell>
          <cell r="Y654">
            <v>413</v>
          </cell>
          <cell r="Z654">
            <v>358</v>
          </cell>
          <cell r="AA654">
            <v>302</v>
          </cell>
          <cell r="AB654">
            <v>210</v>
          </cell>
          <cell r="AC654">
            <v>117</v>
          </cell>
        </row>
        <row r="655">
          <cell r="A655" t="str">
            <v>12-14-28</v>
          </cell>
          <cell r="B655">
            <v>1190</v>
          </cell>
          <cell r="C655">
            <v>1051</v>
          </cell>
          <cell r="D655">
            <v>862</v>
          </cell>
          <cell r="E655">
            <v>736</v>
          </cell>
          <cell r="F655">
            <v>610</v>
          </cell>
          <cell r="G655">
            <v>421</v>
          </cell>
          <cell r="H655">
            <v>231</v>
          </cell>
          <cell r="I655">
            <v>1190</v>
          </cell>
          <cell r="J655">
            <v>1051</v>
          </cell>
          <cell r="K655">
            <v>862</v>
          </cell>
          <cell r="L655">
            <v>736</v>
          </cell>
          <cell r="M655">
            <v>610</v>
          </cell>
          <cell r="N655">
            <v>421</v>
          </cell>
          <cell r="O655">
            <v>231</v>
          </cell>
          <cell r="P655">
            <v>892</v>
          </cell>
          <cell r="Q655">
            <v>804</v>
          </cell>
          <cell r="R655">
            <v>675</v>
          </cell>
          <cell r="S655">
            <v>586</v>
          </cell>
          <cell r="T655">
            <v>496</v>
          </cell>
          <cell r="U655">
            <v>349</v>
          </cell>
          <cell r="V655">
            <v>202</v>
          </cell>
          <cell r="W655">
            <v>892</v>
          </cell>
          <cell r="X655">
            <v>804</v>
          </cell>
          <cell r="Y655">
            <v>675</v>
          </cell>
          <cell r="Z655">
            <v>586</v>
          </cell>
          <cell r="AA655">
            <v>496</v>
          </cell>
          <cell r="AB655">
            <v>349</v>
          </cell>
          <cell r="AC655">
            <v>202</v>
          </cell>
        </row>
        <row r="656">
          <cell r="A656" t="str">
            <v>12-15-28</v>
          </cell>
          <cell r="B656">
            <v>1051</v>
          </cell>
          <cell r="C656">
            <v>926</v>
          </cell>
          <cell r="D656">
            <v>763</v>
          </cell>
          <cell r="E656">
            <v>654</v>
          </cell>
          <cell r="F656">
            <v>544</v>
          </cell>
          <cell r="G656">
            <v>375</v>
          </cell>
          <cell r="H656">
            <v>206</v>
          </cell>
          <cell r="I656">
            <v>909</v>
          </cell>
          <cell r="J656">
            <v>786</v>
          </cell>
          <cell r="K656">
            <v>634</v>
          </cell>
          <cell r="L656">
            <v>538</v>
          </cell>
          <cell r="M656">
            <v>442</v>
          </cell>
          <cell r="N656">
            <v>303</v>
          </cell>
          <cell r="O656">
            <v>164</v>
          </cell>
          <cell r="P656">
            <v>788</v>
          </cell>
          <cell r="Q656">
            <v>708</v>
          </cell>
          <cell r="R656">
            <v>597</v>
          </cell>
          <cell r="S656">
            <v>520</v>
          </cell>
          <cell r="T656">
            <v>442</v>
          </cell>
          <cell r="U656">
            <v>311</v>
          </cell>
          <cell r="V656">
            <v>180</v>
          </cell>
          <cell r="W656">
            <v>681</v>
          </cell>
          <cell r="X656">
            <v>601</v>
          </cell>
          <cell r="Y656">
            <v>496</v>
          </cell>
          <cell r="Z656">
            <v>428</v>
          </cell>
          <cell r="AA656">
            <v>360</v>
          </cell>
          <cell r="AB656">
            <v>252</v>
          </cell>
          <cell r="AC656">
            <v>143</v>
          </cell>
        </row>
        <row r="657">
          <cell r="A657" t="str">
            <v>12-16-28</v>
          </cell>
          <cell r="B657">
            <v>890</v>
          </cell>
          <cell r="C657">
            <v>791</v>
          </cell>
          <cell r="D657">
            <v>657</v>
          </cell>
          <cell r="E657">
            <v>564</v>
          </cell>
          <cell r="F657">
            <v>471</v>
          </cell>
          <cell r="G657">
            <v>325</v>
          </cell>
          <cell r="H657">
            <v>178</v>
          </cell>
          <cell r="I657">
            <v>856</v>
          </cell>
          <cell r="J657">
            <v>742</v>
          </cell>
          <cell r="K657">
            <v>601</v>
          </cell>
          <cell r="L657">
            <v>511</v>
          </cell>
          <cell r="M657">
            <v>420</v>
          </cell>
          <cell r="N657">
            <v>287</v>
          </cell>
          <cell r="O657">
            <v>154</v>
          </cell>
          <cell r="P657">
            <v>667</v>
          </cell>
          <cell r="Q657">
            <v>605</v>
          </cell>
          <cell r="R657">
            <v>515</v>
          </cell>
          <cell r="S657">
            <v>449</v>
          </cell>
          <cell r="T657">
            <v>383</v>
          </cell>
          <cell r="U657">
            <v>269</v>
          </cell>
          <cell r="V657">
            <v>155</v>
          </cell>
          <cell r="W657">
            <v>642</v>
          </cell>
          <cell r="X657">
            <v>568</v>
          </cell>
          <cell r="Y657">
            <v>471</v>
          </cell>
          <cell r="Z657">
            <v>406</v>
          </cell>
          <cell r="AA657">
            <v>341</v>
          </cell>
          <cell r="AB657">
            <v>238</v>
          </cell>
          <cell r="AC657">
            <v>134</v>
          </cell>
        </row>
        <row r="658">
          <cell r="A658" t="str">
            <v>12-17-28</v>
          </cell>
          <cell r="B658">
            <v>821</v>
          </cell>
          <cell r="C658">
            <v>726</v>
          </cell>
          <cell r="D658">
            <v>584</v>
          </cell>
          <cell r="E658">
            <v>497</v>
          </cell>
          <cell r="F658">
            <v>409</v>
          </cell>
          <cell r="G658">
            <v>280</v>
          </cell>
          <cell r="H658">
            <v>151</v>
          </cell>
          <cell r="I658">
            <v>821</v>
          </cell>
          <cell r="J658">
            <v>726</v>
          </cell>
          <cell r="K658">
            <v>584</v>
          </cell>
          <cell r="L658">
            <v>497</v>
          </cell>
          <cell r="M658">
            <v>409</v>
          </cell>
          <cell r="N658">
            <v>280</v>
          </cell>
          <cell r="O658">
            <v>151</v>
          </cell>
          <cell r="P658">
            <v>615</v>
          </cell>
          <cell r="Q658">
            <v>555</v>
          </cell>
          <cell r="R658">
            <v>457</v>
          </cell>
          <cell r="S658">
            <v>395</v>
          </cell>
          <cell r="T658">
            <v>332</v>
          </cell>
          <cell r="U658">
            <v>232</v>
          </cell>
          <cell r="V658">
            <v>131</v>
          </cell>
          <cell r="W658">
            <v>615</v>
          </cell>
          <cell r="X658">
            <v>555</v>
          </cell>
          <cell r="Y658">
            <v>457</v>
          </cell>
          <cell r="Z658">
            <v>395</v>
          </cell>
          <cell r="AA658">
            <v>332</v>
          </cell>
          <cell r="AB658">
            <v>232</v>
          </cell>
          <cell r="AC658">
            <v>131</v>
          </cell>
        </row>
        <row r="659">
          <cell r="A659" t="str">
            <v>12-18-28</v>
          </cell>
          <cell r="B659">
            <v>768</v>
          </cell>
          <cell r="C659">
            <v>682</v>
          </cell>
          <cell r="D659">
            <v>552</v>
          </cell>
          <cell r="E659">
            <v>470</v>
          </cell>
          <cell r="F659">
            <v>387</v>
          </cell>
          <cell r="G659">
            <v>265</v>
          </cell>
          <cell r="H659">
            <v>143</v>
          </cell>
          <cell r="I659">
            <v>768</v>
          </cell>
          <cell r="J659">
            <v>682</v>
          </cell>
          <cell r="K659">
            <v>552</v>
          </cell>
          <cell r="L659">
            <v>470</v>
          </cell>
          <cell r="M659">
            <v>387</v>
          </cell>
          <cell r="N659">
            <v>265</v>
          </cell>
          <cell r="O659">
            <v>143</v>
          </cell>
          <cell r="P659">
            <v>576</v>
          </cell>
          <cell r="Q659">
            <v>522</v>
          </cell>
          <cell r="R659">
            <v>432</v>
          </cell>
          <cell r="S659">
            <v>374</v>
          </cell>
          <cell r="T659">
            <v>315</v>
          </cell>
          <cell r="U659">
            <v>220</v>
          </cell>
          <cell r="V659">
            <v>125</v>
          </cell>
          <cell r="W659">
            <v>576</v>
          </cell>
          <cell r="X659">
            <v>522</v>
          </cell>
          <cell r="Y659">
            <v>432</v>
          </cell>
          <cell r="Z659">
            <v>374</v>
          </cell>
          <cell r="AA659">
            <v>315</v>
          </cell>
          <cell r="AB659">
            <v>220</v>
          </cell>
          <cell r="AC659">
            <v>125</v>
          </cell>
        </row>
        <row r="660">
          <cell r="A660" t="str">
            <v>12-19-28</v>
          </cell>
          <cell r="B660">
            <v>715</v>
          </cell>
          <cell r="C660">
            <v>638</v>
          </cell>
          <cell r="D660">
            <v>525</v>
          </cell>
          <cell r="E660">
            <v>446</v>
          </cell>
          <cell r="F660">
            <v>366</v>
          </cell>
          <cell r="G660">
            <v>251</v>
          </cell>
          <cell r="H660">
            <v>136</v>
          </cell>
          <cell r="I660">
            <v>715</v>
          </cell>
          <cell r="J660">
            <v>638</v>
          </cell>
          <cell r="K660">
            <v>525</v>
          </cell>
          <cell r="L660">
            <v>446</v>
          </cell>
          <cell r="M660">
            <v>366</v>
          </cell>
          <cell r="N660">
            <v>251</v>
          </cell>
          <cell r="O660">
            <v>136</v>
          </cell>
          <cell r="P660">
            <v>536</v>
          </cell>
          <cell r="Q660">
            <v>488</v>
          </cell>
          <cell r="R660">
            <v>411</v>
          </cell>
          <cell r="S660">
            <v>354</v>
          </cell>
          <cell r="T660">
            <v>297</v>
          </cell>
          <cell r="U660">
            <v>208</v>
          </cell>
          <cell r="V660">
            <v>118</v>
          </cell>
          <cell r="W660">
            <v>536</v>
          </cell>
          <cell r="X660">
            <v>488</v>
          </cell>
          <cell r="Y660">
            <v>411</v>
          </cell>
          <cell r="Z660">
            <v>354</v>
          </cell>
          <cell r="AA660">
            <v>297</v>
          </cell>
          <cell r="AB660">
            <v>208</v>
          </cell>
          <cell r="AC660">
            <v>118</v>
          </cell>
        </row>
        <row r="661">
          <cell r="A661" t="str">
            <v>12-20-28</v>
          </cell>
          <cell r="B661">
            <v>656</v>
          </cell>
          <cell r="C661">
            <v>588</v>
          </cell>
          <cell r="D661">
            <v>485</v>
          </cell>
          <cell r="E661">
            <v>414</v>
          </cell>
          <cell r="F661">
            <v>343</v>
          </cell>
          <cell r="G661">
            <v>234</v>
          </cell>
          <cell r="H661">
            <v>124</v>
          </cell>
          <cell r="I661">
            <v>656</v>
          </cell>
          <cell r="J661">
            <v>588</v>
          </cell>
          <cell r="K661">
            <v>485</v>
          </cell>
          <cell r="L661">
            <v>414</v>
          </cell>
          <cell r="M661">
            <v>343</v>
          </cell>
          <cell r="N661">
            <v>234</v>
          </cell>
          <cell r="O661">
            <v>124</v>
          </cell>
          <cell r="P661">
            <v>492</v>
          </cell>
          <cell r="Q661">
            <v>450</v>
          </cell>
          <cell r="R661">
            <v>379</v>
          </cell>
          <cell r="S661">
            <v>329</v>
          </cell>
          <cell r="T661">
            <v>279</v>
          </cell>
          <cell r="U661">
            <v>194</v>
          </cell>
          <cell r="V661">
            <v>108</v>
          </cell>
          <cell r="W661">
            <v>492</v>
          </cell>
          <cell r="X661">
            <v>450</v>
          </cell>
          <cell r="Y661">
            <v>379</v>
          </cell>
          <cell r="Z661">
            <v>329</v>
          </cell>
          <cell r="AA661">
            <v>279</v>
          </cell>
          <cell r="AB661">
            <v>194</v>
          </cell>
          <cell r="AC661">
            <v>108</v>
          </cell>
        </row>
        <row r="662">
          <cell r="A662" t="str">
            <v>13-15-28</v>
          </cell>
          <cell r="B662">
            <v>1040</v>
          </cell>
          <cell r="C662">
            <v>914</v>
          </cell>
          <cell r="D662">
            <v>752</v>
          </cell>
          <cell r="E662">
            <v>644</v>
          </cell>
          <cell r="F662">
            <v>535</v>
          </cell>
          <cell r="G662">
            <v>369</v>
          </cell>
          <cell r="H662">
            <v>202</v>
          </cell>
          <cell r="I662">
            <v>904</v>
          </cell>
          <cell r="J662">
            <v>782</v>
          </cell>
          <cell r="K662">
            <v>630</v>
          </cell>
          <cell r="L662">
            <v>535</v>
          </cell>
          <cell r="M662">
            <v>439</v>
          </cell>
          <cell r="N662">
            <v>301</v>
          </cell>
          <cell r="O662">
            <v>162</v>
          </cell>
          <cell r="P662">
            <v>780</v>
          </cell>
          <cell r="Q662">
            <v>699</v>
          </cell>
          <cell r="R662">
            <v>589</v>
          </cell>
          <cell r="S662">
            <v>512</v>
          </cell>
          <cell r="T662">
            <v>435</v>
          </cell>
          <cell r="U662">
            <v>306</v>
          </cell>
          <cell r="V662">
            <v>176</v>
          </cell>
          <cell r="W662">
            <v>678</v>
          </cell>
          <cell r="X662">
            <v>598</v>
          </cell>
          <cell r="Y662">
            <v>494</v>
          </cell>
          <cell r="Z662">
            <v>426</v>
          </cell>
          <cell r="AA662">
            <v>357</v>
          </cell>
          <cell r="AB662">
            <v>249</v>
          </cell>
          <cell r="AC662">
            <v>141</v>
          </cell>
        </row>
        <row r="663">
          <cell r="A663" t="str">
            <v>13-16-28</v>
          </cell>
          <cell r="B663">
            <v>882</v>
          </cell>
          <cell r="C663">
            <v>782</v>
          </cell>
          <cell r="D663">
            <v>649</v>
          </cell>
          <cell r="E663">
            <v>557</v>
          </cell>
          <cell r="F663">
            <v>465</v>
          </cell>
          <cell r="G663">
            <v>321</v>
          </cell>
          <cell r="H663">
            <v>176</v>
          </cell>
          <cell r="I663">
            <v>853</v>
          </cell>
          <cell r="J663">
            <v>740</v>
          </cell>
          <cell r="K663">
            <v>599</v>
          </cell>
          <cell r="L663">
            <v>508</v>
          </cell>
          <cell r="M663">
            <v>417</v>
          </cell>
          <cell r="N663">
            <v>286</v>
          </cell>
          <cell r="O663">
            <v>154</v>
          </cell>
          <cell r="P663">
            <v>661</v>
          </cell>
          <cell r="Q663">
            <v>598</v>
          </cell>
          <cell r="R663">
            <v>508</v>
          </cell>
          <cell r="S663">
            <v>443</v>
          </cell>
          <cell r="T663">
            <v>378</v>
          </cell>
          <cell r="U663">
            <v>266</v>
          </cell>
          <cell r="V663">
            <v>153</v>
          </cell>
          <cell r="W663">
            <v>640</v>
          </cell>
          <cell r="X663">
            <v>566</v>
          </cell>
          <cell r="Y663">
            <v>469</v>
          </cell>
          <cell r="Z663">
            <v>404</v>
          </cell>
          <cell r="AA663">
            <v>339</v>
          </cell>
          <cell r="AB663">
            <v>237</v>
          </cell>
          <cell r="AC663">
            <v>134</v>
          </cell>
        </row>
        <row r="664">
          <cell r="A664" t="str">
            <v>13-17-28</v>
          </cell>
          <cell r="B664">
            <v>812</v>
          </cell>
          <cell r="C664">
            <v>719</v>
          </cell>
          <cell r="D664">
            <v>578</v>
          </cell>
          <cell r="E664">
            <v>491</v>
          </cell>
          <cell r="F664">
            <v>404</v>
          </cell>
          <cell r="G664">
            <v>276</v>
          </cell>
          <cell r="H664">
            <v>148</v>
          </cell>
          <cell r="I664">
            <v>812</v>
          </cell>
          <cell r="J664">
            <v>719</v>
          </cell>
          <cell r="K664">
            <v>578</v>
          </cell>
          <cell r="L664">
            <v>491</v>
          </cell>
          <cell r="M664">
            <v>404</v>
          </cell>
          <cell r="N664">
            <v>276</v>
          </cell>
          <cell r="O664">
            <v>148</v>
          </cell>
          <cell r="P664">
            <v>609</v>
          </cell>
          <cell r="Q664">
            <v>550</v>
          </cell>
          <cell r="R664">
            <v>453</v>
          </cell>
          <cell r="S664">
            <v>391</v>
          </cell>
          <cell r="T664">
            <v>328</v>
          </cell>
          <cell r="U664">
            <v>229</v>
          </cell>
          <cell r="V664">
            <v>129</v>
          </cell>
          <cell r="W664">
            <v>609</v>
          </cell>
          <cell r="X664">
            <v>550</v>
          </cell>
          <cell r="Y664">
            <v>453</v>
          </cell>
          <cell r="Z664">
            <v>391</v>
          </cell>
          <cell r="AA664">
            <v>328</v>
          </cell>
          <cell r="AB664">
            <v>229</v>
          </cell>
          <cell r="AC664">
            <v>129</v>
          </cell>
        </row>
        <row r="665">
          <cell r="A665" t="str">
            <v>13-18-28</v>
          </cell>
          <cell r="B665">
            <v>760</v>
          </cell>
          <cell r="C665">
            <v>676</v>
          </cell>
          <cell r="D665">
            <v>547</v>
          </cell>
          <cell r="E665">
            <v>466</v>
          </cell>
          <cell r="F665">
            <v>384</v>
          </cell>
          <cell r="G665">
            <v>263</v>
          </cell>
          <cell r="H665">
            <v>141</v>
          </cell>
          <cell r="I665">
            <v>760</v>
          </cell>
          <cell r="J665">
            <v>676</v>
          </cell>
          <cell r="K665">
            <v>547</v>
          </cell>
          <cell r="L665">
            <v>466</v>
          </cell>
          <cell r="M665">
            <v>384</v>
          </cell>
          <cell r="N665">
            <v>263</v>
          </cell>
          <cell r="O665">
            <v>141</v>
          </cell>
          <cell r="P665">
            <v>570</v>
          </cell>
          <cell r="Q665">
            <v>517</v>
          </cell>
          <cell r="R665">
            <v>428</v>
          </cell>
          <cell r="S665">
            <v>370</v>
          </cell>
          <cell r="T665">
            <v>312</v>
          </cell>
          <cell r="U665">
            <v>217</v>
          </cell>
          <cell r="V665">
            <v>122</v>
          </cell>
          <cell r="W665">
            <v>570</v>
          </cell>
          <cell r="X665">
            <v>517</v>
          </cell>
          <cell r="Y665">
            <v>428</v>
          </cell>
          <cell r="Z665">
            <v>370</v>
          </cell>
          <cell r="AA665">
            <v>312</v>
          </cell>
          <cell r="AB665">
            <v>217</v>
          </cell>
          <cell r="AC665">
            <v>122</v>
          </cell>
        </row>
        <row r="666">
          <cell r="A666" t="str">
            <v>13-19-28</v>
          </cell>
          <cell r="B666">
            <v>707</v>
          </cell>
          <cell r="C666">
            <v>630</v>
          </cell>
          <cell r="D666">
            <v>518</v>
          </cell>
          <cell r="E666">
            <v>440</v>
          </cell>
          <cell r="F666">
            <v>362</v>
          </cell>
          <cell r="G666">
            <v>249</v>
          </cell>
          <cell r="H666">
            <v>135</v>
          </cell>
          <cell r="I666">
            <v>707</v>
          </cell>
          <cell r="J666">
            <v>630</v>
          </cell>
          <cell r="K666">
            <v>518</v>
          </cell>
          <cell r="L666">
            <v>440</v>
          </cell>
          <cell r="M666">
            <v>362</v>
          </cell>
          <cell r="N666">
            <v>249</v>
          </cell>
          <cell r="O666">
            <v>135</v>
          </cell>
          <cell r="P666">
            <v>530</v>
          </cell>
          <cell r="Q666">
            <v>482</v>
          </cell>
          <cell r="R666">
            <v>406</v>
          </cell>
          <cell r="S666">
            <v>350</v>
          </cell>
          <cell r="T666">
            <v>294</v>
          </cell>
          <cell r="U666">
            <v>206</v>
          </cell>
          <cell r="V666">
            <v>117</v>
          </cell>
          <cell r="W666">
            <v>530</v>
          </cell>
          <cell r="X666">
            <v>482</v>
          </cell>
          <cell r="Y666">
            <v>406</v>
          </cell>
          <cell r="Z666">
            <v>350</v>
          </cell>
          <cell r="AA666">
            <v>294</v>
          </cell>
          <cell r="AB666">
            <v>206</v>
          </cell>
          <cell r="AC666">
            <v>117</v>
          </cell>
        </row>
        <row r="667">
          <cell r="A667" t="str">
            <v>13-20-28</v>
          </cell>
          <cell r="B667">
            <v>651</v>
          </cell>
          <cell r="C667">
            <v>583</v>
          </cell>
          <cell r="D667">
            <v>482</v>
          </cell>
          <cell r="E667">
            <v>412</v>
          </cell>
          <cell r="F667">
            <v>342</v>
          </cell>
          <cell r="G667">
            <v>233</v>
          </cell>
          <cell r="H667">
            <v>124</v>
          </cell>
          <cell r="I667">
            <v>651</v>
          </cell>
          <cell r="J667">
            <v>583</v>
          </cell>
          <cell r="K667">
            <v>482</v>
          </cell>
          <cell r="L667">
            <v>412</v>
          </cell>
          <cell r="M667">
            <v>342</v>
          </cell>
          <cell r="N667">
            <v>233</v>
          </cell>
          <cell r="O667">
            <v>124</v>
          </cell>
          <cell r="P667">
            <v>488</v>
          </cell>
          <cell r="Q667">
            <v>446</v>
          </cell>
          <cell r="R667">
            <v>377</v>
          </cell>
          <cell r="S667">
            <v>328</v>
          </cell>
          <cell r="T667">
            <v>278</v>
          </cell>
          <cell r="U667">
            <v>193</v>
          </cell>
          <cell r="V667">
            <v>108</v>
          </cell>
          <cell r="W667">
            <v>488</v>
          </cell>
          <cell r="X667">
            <v>446</v>
          </cell>
          <cell r="Y667">
            <v>377</v>
          </cell>
          <cell r="Z667">
            <v>328</v>
          </cell>
          <cell r="AA667">
            <v>278</v>
          </cell>
          <cell r="AB667">
            <v>193</v>
          </cell>
          <cell r="AC667">
            <v>108</v>
          </cell>
        </row>
        <row r="668">
          <cell r="A668" t="str">
            <v>13-21-28</v>
          </cell>
          <cell r="B668">
            <v>592</v>
          </cell>
          <cell r="C668">
            <v>531</v>
          </cell>
          <cell r="D668">
            <v>441</v>
          </cell>
          <cell r="E668">
            <v>377</v>
          </cell>
          <cell r="F668">
            <v>313</v>
          </cell>
          <cell r="G668">
            <v>213</v>
          </cell>
          <cell r="H668">
            <v>112</v>
          </cell>
          <cell r="I668">
            <v>592</v>
          </cell>
          <cell r="J668">
            <v>531</v>
          </cell>
          <cell r="K668">
            <v>441</v>
          </cell>
          <cell r="L668">
            <v>377</v>
          </cell>
          <cell r="M668">
            <v>313</v>
          </cell>
          <cell r="N668">
            <v>213</v>
          </cell>
          <cell r="O668">
            <v>112</v>
          </cell>
          <cell r="P668">
            <v>444</v>
          </cell>
          <cell r="Q668">
            <v>406</v>
          </cell>
          <cell r="R668">
            <v>345</v>
          </cell>
          <cell r="S668">
            <v>300</v>
          </cell>
          <cell r="T668">
            <v>255</v>
          </cell>
          <cell r="U668">
            <v>177</v>
          </cell>
          <cell r="V668">
            <v>98</v>
          </cell>
          <cell r="W668">
            <v>444</v>
          </cell>
          <cell r="X668">
            <v>406</v>
          </cell>
          <cell r="Y668">
            <v>345</v>
          </cell>
          <cell r="Z668">
            <v>300</v>
          </cell>
          <cell r="AA668">
            <v>255</v>
          </cell>
          <cell r="AB668">
            <v>177</v>
          </cell>
          <cell r="AC668">
            <v>98</v>
          </cell>
        </row>
        <row r="669">
          <cell r="A669" t="str">
            <v>14-16-28</v>
          </cell>
          <cell r="B669">
            <v>869</v>
          </cell>
          <cell r="C669">
            <v>769</v>
          </cell>
          <cell r="D669">
            <v>636</v>
          </cell>
          <cell r="E669">
            <v>546</v>
          </cell>
          <cell r="F669">
            <v>455</v>
          </cell>
          <cell r="G669">
            <v>313</v>
          </cell>
          <cell r="H669">
            <v>171</v>
          </cell>
          <cell r="I669">
            <v>869</v>
          </cell>
          <cell r="J669">
            <v>769</v>
          </cell>
          <cell r="K669">
            <v>636</v>
          </cell>
          <cell r="L669">
            <v>546</v>
          </cell>
          <cell r="M669">
            <v>455</v>
          </cell>
          <cell r="N669">
            <v>313</v>
          </cell>
          <cell r="O669">
            <v>171</v>
          </cell>
          <cell r="P669">
            <v>651</v>
          </cell>
          <cell r="Q669">
            <v>589</v>
          </cell>
          <cell r="R669">
            <v>498</v>
          </cell>
          <cell r="S669">
            <v>434</v>
          </cell>
          <cell r="T669">
            <v>370</v>
          </cell>
          <cell r="U669">
            <v>260</v>
          </cell>
          <cell r="V669">
            <v>149</v>
          </cell>
          <cell r="W669">
            <v>651</v>
          </cell>
          <cell r="X669">
            <v>589</v>
          </cell>
          <cell r="Y669">
            <v>498</v>
          </cell>
          <cell r="Z669">
            <v>434</v>
          </cell>
          <cell r="AA669">
            <v>370</v>
          </cell>
          <cell r="AB669">
            <v>260</v>
          </cell>
          <cell r="AC669">
            <v>149</v>
          </cell>
        </row>
        <row r="670">
          <cell r="A670" t="str">
            <v>14-17-28</v>
          </cell>
          <cell r="B670">
            <v>803</v>
          </cell>
          <cell r="C670">
            <v>711</v>
          </cell>
          <cell r="D670">
            <v>571</v>
          </cell>
          <cell r="E670">
            <v>485</v>
          </cell>
          <cell r="F670">
            <v>399</v>
          </cell>
          <cell r="G670">
            <v>273</v>
          </cell>
          <cell r="H670">
            <v>146</v>
          </cell>
          <cell r="I670">
            <v>803</v>
          </cell>
          <cell r="J670">
            <v>711</v>
          </cell>
          <cell r="K670">
            <v>571</v>
          </cell>
          <cell r="L670">
            <v>485</v>
          </cell>
          <cell r="M670">
            <v>399</v>
          </cell>
          <cell r="N670">
            <v>273</v>
          </cell>
          <cell r="O670">
            <v>146</v>
          </cell>
          <cell r="P670">
            <v>602</v>
          </cell>
          <cell r="Q670">
            <v>544</v>
          </cell>
          <cell r="R670">
            <v>447</v>
          </cell>
          <cell r="S670">
            <v>386</v>
          </cell>
          <cell r="T670">
            <v>324</v>
          </cell>
          <cell r="U670">
            <v>226</v>
          </cell>
          <cell r="V670">
            <v>128</v>
          </cell>
          <cell r="W670">
            <v>602</v>
          </cell>
          <cell r="X670">
            <v>544</v>
          </cell>
          <cell r="Y670">
            <v>447</v>
          </cell>
          <cell r="Z670">
            <v>386</v>
          </cell>
          <cell r="AA670">
            <v>324</v>
          </cell>
          <cell r="AB670">
            <v>226</v>
          </cell>
          <cell r="AC670">
            <v>128</v>
          </cell>
        </row>
        <row r="671">
          <cell r="A671" t="str">
            <v>14-18-28</v>
          </cell>
          <cell r="B671">
            <v>752</v>
          </cell>
          <cell r="C671">
            <v>667</v>
          </cell>
          <cell r="D671">
            <v>539</v>
          </cell>
          <cell r="E671">
            <v>459</v>
          </cell>
          <cell r="F671">
            <v>379</v>
          </cell>
          <cell r="G671">
            <v>259</v>
          </cell>
          <cell r="H671">
            <v>139</v>
          </cell>
          <cell r="I671">
            <v>752</v>
          </cell>
          <cell r="J671">
            <v>667</v>
          </cell>
          <cell r="K671">
            <v>539</v>
          </cell>
          <cell r="L671">
            <v>459</v>
          </cell>
          <cell r="M671">
            <v>379</v>
          </cell>
          <cell r="N671">
            <v>259</v>
          </cell>
          <cell r="O671">
            <v>139</v>
          </cell>
          <cell r="P671">
            <v>563</v>
          </cell>
          <cell r="Q671">
            <v>510</v>
          </cell>
          <cell r="R671">
            <v>422</v>
          </cell>
          <cell r="S671">
            <v>365</v>
          </cell>
          <cell r="T671">
            <v>307</v>
          </cell>
          <cell r="U671">
            <v>214</v>
          </cell>
          <cell r="V671">
            <v>121</v>
          </cell>
          <cell r="W671">
            <v>563</v>
          </cell>
          <cell r="X671">
            <v>510</v>
          </cell>
          <cell r="Y671">
            <v>422</v>
          </cell>
          <cell r="Z671">
            <v>365</v>
          </cell>
          <cell r="AA671">
            <v>307</v>
          </cell>
          <cell r="AB671">
            <v>214</v>
          </cell>
          <cell r="AC671">
            <v>121</v>
          </cell>
        </row>
        <row r="672">
          <cell r="A672" t="str">
            <v>14-19-28</v>
          </cell>
          <cell r="B672">
            <v>699</v>
          </cell>
          <cell r="C672">
            <v>622</v>
          </cell>
          <cell r="D672">
            <v>511</v>
          </cell>
          <cell r="E672">
            <v>434</v>
          </cell>
          <cell r="F672">
            <v>357</v>
          </cell>
          <cell r="G672">
            <v>245</v>
          </cell>
          <cell r="H672">
            <v>133</v>
          </cell>
          <cell r="I672">
            <v>699</v>
          </cell>
          <cell r="J672">
            <v>622</v>
          </cell>
          <cell r="K672">
            <v>511</v>
          </cell>
          <cell r="L672">
            <v>434</v>
          </cell>
          <cell r="M672">
            <v>357</v>
          </cell>
          <cell r="N672">
            <v>245</v>
          </cell>
          <cell r="O672">
            <v>133</v>
          </cell>
          <cell r="P672">
            <v>524</v>
          </cell>
          <cell r="Q672">
            <v>476</v>
          </cell>
          <cell r="R672">
            <v>400</v>
          </cell>
          <cell r="S672">
            <v>345</v>
          </cell>
          <cell r="T672">
            <v>290</v>
          </cell>
          <cell r="U672">
            <v>203</v>
          </cell>
          <cell r="V672">
            <v>116</v>
          </cell>
          <cell r="W672">
            <v>524</v>
          </cell>
          <cell r="X672">
            <v>476</v>
          </cell>
          <cell r="Y672">
            <v>400</v>
          </cell>
          <cell r="Z672">
            <v>345</v>
          </cell>
          <cell r="AA672">
            <v>290</v>
          </cell>
          <cell r="AB672">
            <v>203</v>
          </cell>
          <cell r="AC672">
            <v>116</v>
          </cell>
        </row>
        <row r="673">
          <cell r="A673" t="str">
            <v>14-20-28</v>
          </cell>
          <cell r="B673">
            <v>645</v>
          </cell>
          <cell r="C673">
            <v>576</v>
          </cell>
          <cell r="D673">
            <v>476</v>
          </cell>
          <cell r="E673">
            <v>408</v>
          </cell>
          <cell r="F673">
            <v>340</v>
          </cell>
          <cell r="G673">
            <v>232</v>
          </cell>
          <cell r="H673">
            <v>124</v>
          </cell>
          <cell r="I673">
            <v>645</v>
          </cell>
          <cell r="J673">
            <v>576</v>
          </cell>
          <cell r="K673">
            <v>476</v>
          </cell>
          <cell r="L673">
            <v>408</v>
          </cell>
          <cell r="M673">
            <v>340</v>
          </cell>
          <cell r="N673">
            <v>232</v>
          </cell>
          <cell r="O673">
            <v>124</v>
          </cell>
          <cell r="P673">
            <v>483</v>
          </cell>
          <cell r="Q673">
            <v>441</v>
          </cell>
          <cell r="R673">
            <v>372</v>
          </cell>
          <cell r="S673">
            <v>324</v>
          </cell>
          <cell r="T673">
            <v>276</v>
          </cell>
          <cell r="U673">
            <v>192</v>
          </cell>
          <cell r="V673">
            <v>108</v>
          </cell>
          <cell r="W673">
            <v>483</v>
          </cell>
          <cell r="X673">
            <v>441</v>
          </cell>
          <cell r="Y673">
            <v>372</v>
          </cell>
          <cell r="Z673">
            <v>324</v>
          </cell>
          <cell r="AA673">
            <v>276</v>
          </cell>
          <cell r="AB673">
            <v>192</v>
          </cell>
          <cell r="AC673">
            <v>108</v>
          </cell>
        </row>
        <row r="674">
          <cell r="A674" t="str">
            <v>14-21-28</v>
          </cell>
          <cell r="B674">
            <v>586</v>
          </cell>
          <cell r="C674">
            <v>526</v>
          </cell>
          <cell r="D674">
            <v>437</v>
          </cell>
          <cell r="E674">
            <v>375</v>
          </cell>
          <cell r="F674">
            <v>312</v>
          </cell>
          <cell r="G674">
            <v>213</v>
          </cell>
          <cell r="H674">
            <v>113</v>
          </cell>
          <cell r="I674">
            <v>586</v>
          </cell>
          <cell r="J674">
            <v>526</v>
          </cell>
          <cell r="K674">
            <v>437</v>
          </cell>
          <cell r="L674">
            <v>375</v>
          </cell>
          <cell r="M674">
            <v>312</v>
          </cell>
          <cell r="N674">
            <v>213</v>
          </cell>
          <cell r="O674">
            <v>113</v>
          </cell>
          <cell r="P674">
            <v>440</v>
          </cell>
          <cell r="Q674">
            <v>403</v>
          </cell>
          <cell r="R674">
            <v>342</v>
          </cell>
          <cell r="S674">
            <v>298</v>
          </cell>
          <cell r="T674">
            <v>253</v>
          </cell>
          <cell r="U674">
            <v>176</v>
          </cell>
          <cell r="V674">
            <v>99</v>
          </cell>
          <cell r="W674">
            <v>440</v>
          </cell>
          <cell r="X674">
            <v>403</v>
          </cell>
          <cell r="Y674">
            <v>342</v>
          </cell>
          <cell r="Z674">
            <v>298</v>
          </cell>
          <cell r="AA674">
            <v>253</v>
          </cell>
          <cell r="AB674">
            <v>176</v>
          </cell>
          <cell r="AC674">
            <v>99</v>
          </cell>
        </row>
        <row r="675">
          <cell r="A675" t="str">
            <v>14-22-28</v>
          </cell>
          <cell r="B675">
            <v>523</v>
          </cell>
          <cell r="C675">
            <v>472</v>
          </cell>
          <cell r="D675">
            <v>393</v>
          </cell>
          <cell r="E675">
            <v>338</v>
          </cell>
          <cell r="F675">
            <v>282</v>
          </cell>
          <cell r="G675">
            <v>192</v>
          </cell>
          <cell r="H675">
            <v>102</v>
          </cell>
          <cell r="I675">
            <v>523</v>
          </cell>
          <cell r="J675">
            <v>472</v>
          </cell>
          <cell r="K675">
            <v>393</v>
          </cell>
          <cell r="L675">
            <v>338</v>
          </cell>
          <cell r="M675">
            <v>282</v>
          </cell>
          <cell r="N675">
            <v>192</v>
          </cell>
          <cell r="O675">
            <v>102</v>
          </cell>
          <cell r="P675">
            <v>392</v>
          </cell>
          <cell r="Q675">
            <v>361</v>
          </cell>
          <cell r="R675">
            <v>308</v>
          </cell>
          <cell r="S675">
            <v>269</v>
          </cell>
          <cell r="T675">
            <v>229</v>
          </cell>
          <cell r="U675">
            <v>159</v>
          </cell>
          <cell r="V675">
            <v>88</v>
          </cell>
          <cell r="W675">
            <v>392</v>
          </cell>
          <cell r="X675">
            <v>361</v>
          </cell>
          <cell r="Y675">
            <v>308</v>
          </cell>
          <cell r="Z675">
            <v>269</v>
          </cell>
          <cell r="AA675">
            <v>229</v>
          </cell>
          <cell r="AB675">
            <v>159</v>
          </cell>
          <cell r="AC675">
            <v>88</v>
          </cell>
        </row>
        <row r="676">
          <cell r="A676" t="str">
            <v>15-17-28</v>
          </cell>
          <cell r="B676">
            <v>796</v>
          </cell>
          <cell r="C676">
            <v>702</v>
          </cell>
          <cell r="D676">
            <v>564</v>
          </cell>
          <cell r="E676">
            <v>479</v>
          </cell>
          <cell r="F676">
            <v>394</v>
          </cell>
          <cell r="G676">
            <v>269</v>
          </cell>
          <cell r="H676">
            <v>144</v>
          </cell>
          <cell r="I676">
            <v>796</v>
          </cell>
          <cell r="J676">
            <v>702</v>
          </cell>
          <cell r="K676">
            <v>564</v>
          </cell>
          <cell r="L676">
            <v>479</v>
          </cell>
          <cell r="M676">
            <v>394</v>
          </cell>
          <cell r="N676">
            <v>269</v>
          </cell>
          <cell r="O676">
            <v>144</v>
          </cell>
          <cell r="P676">
            <v>597</v>
          </cell>
          <cell r="Q676">
            <v>537</v>
          </cell>
          <cell r="R676">
            <v>441</v>
          </cell>
          <cell r="S676">
            <v>381</v>
          </cell>
          <cell r="T676">
            <v>320</v>
          </cell>
          <cell r="U676">
            <v>223</v>
          </cell>
          <cell r="V676">
            <v>125</v>
          </cell>
          <cell r="W676">
            <v>597</v>
          </cell>
          <cell r="X676">
            <v>537</v>
          </cell>
          <cell r="Y676">
            <v>441</v>
          </cell>
          <cell r="Z676">
            <v>381</v>
          </cell>
          <cell r="AA676">
            <v>320</v>
          </cell>
          <cell r="AB676">
            <v>223</v>
          </cell>
          <cell r="AC676">
            <v>125</v>
          </cell>
        </row>
        <row r="677">
          <cell r="A677" t="str">
            <v>15-18-28</v>
          </cell>
          <cell r="B677">
            <v>743</v>
          </cell>
          <cell r="C677">
            <v>659</v>
          </cell>
          <cell r="D677">
            <v>538</v>
          </cell>
          <cell r="E677">
            <v>456</v>
          </cell>
          <cell r="F677">
            <v>374</v>
          </cell>
          <cell r="G677">
            <v>256</v>
          </cell>
          <cell r="H677">
            <v>137</v>
          </cell>
          <cell r="I677">
            <v>743</v>
          </cell>
          <cell r="J677">
            <v>659</v>
          </cell>
          <cell r="K677">
            <v>538</v>
          </cell>
          <cell r="L677">
            <v>456</v>
          </cell>
          <cell r="M677">
            <v>374</v>
          </cell>
          <cell r="N677">
            <v>256</v>
          </cell>
          <cell r="O677">
            <v>137</v>
          </cell>
          <cell r="P677">
            <v>557</v>
          </cell>
          <cell r="Q677">
            <v>504</v>
          </cell>
          <cell r="R677">
            <v>421</v>
          </cell>
          <cell r="S677">
            <v>363</v>
          </cell>
          <cell r="T677">
            <v>304</v>
          </cell>
          <cell r="U677">
            <v>212</v>
          </cell>
          <cell r="V677">
            <v>119</v>
          </cell>
          <cell r="W677">
            <v>557</v>
          </cell>
          <cell r="X677">
            <v>504</v>
          </cell>
          <cell r="Y677">
            <v>421</v>
          </cell>
          <cell r="Z677">
            <v>363</v>
          </cell>
          <cell r="AA677">
            <v>304</v>
          </cell>
          <cell r="AB677">
            <v>212</v>
          </cell>
          <cell r="AC677">
            <v>119</v>
          </cell>
        </row>
        <row r="678">
          <cell r="A678" t="str">
            <v>15-19-28</v>
          </cell>
          <cell r="B678">
            <v>690</v>
          </cell>
          <cell r="C678">
            <v>614</v>
          </cell>
          <cell r="D678">
            <v>504</v>
          </cell>
          <cell r="E678">
            <v>428</v>
          </cell>
          <cell r="F678">
            <v>352</v>
          </cell>
          <cell r="G678">
            <v>241</v>
          </cell>
          <cell r="H678">
            <v>129</v>
          </cell>
          <cell r="I678">
            <v>690</v>
          </cell>
          <cell r="J678">
            <v>614</v>
          </cell>
          <cell r="K678">
            <v>504</v>
          </cell>
          <cell r="L678">
            <v>428</v>
          </cell>
          <cell r="M678">
            <v>352</v>
          </cell>
          <cell r="N678">
            <v>241</v>
          </cell>
          <cell r="O678">
            <v>129</v>
          </cell>
          <cell r="P678">
            <v>517</v>
          </cell>
          <cell r="Q678">
            <v>470</v>
          </cell>
          <cell r="R678">
            <v>394</v>
          </cell>
          <cell r="S678">
            <v>340</v>
          </cell>
          <cell r="T678">
            <v>286</v>
          </cell>
          <cell r="U678">
            <v>199</v>
          </cell>
          <cell r="V678">
            <v>112</v>
          </cell>
          <cell r="W678">
            <v>517</v>
          </cell>
          <cell r="X678">
            <v>470</v>
          </cell>
          <cell r="Y678">
            <v>394</v>
          </cell>
          <cell r="Z678">
            <v>340</v>
          </cell>
          <cell r="AA678">
            <v>286</v>
          </cell>
          <cell r="AB678">
            <v>199</v>
          </cell>
          <cell r="AC678">
            <v>112</v>
          </cell>
        </row>
        <row r="679">
          <cell r="A679" t="str">
            <v>15-20-28</v>
          </cell>
          <cell r="B679">
            <v>636</v>
          </cell>
          <cell r="C679">
            <v>569</v>
          </cell>
          <cell r="D679">
            <v>470</v>
          </cell>
          <cell r="E679">
            <v>403</v>
          </cell>
          <cell r="F679">
            <v>335</v>
          </cell>
          <cell r="G679">
            <v>229</v>
          </cell>
          <cell r="H679">
            <v>122</v>
          </cell>
          <cell r="I679">
            <v>636</v>
          </cell>
          <cell r="J679">
            <v>569</v>
          </cell>
          <cell r="K679">
            <v>470</v>
          </cell>
          <cell r="L679">
            <v>403</v>
          </cell>
          <cell r="M679">
            <v>335</v>
          </cell>
          <cell r="N679">
            <v>229</v>
          </cell>
          <cell r="O679">
            <v>122</v>
          </cell>
          <cell r="P679">
            <v>477</v>
          </cell>
          <cell r="Q679">
            <v>435</v>
          </cell>
          <cell r="R679">
            <v>368</v>
          </cell>
          <cell r="S679">
            <v>320</v>
          </cell>
          <cell r="T679">
            <v>272</v>
          </cell>
          <cell r="U679">
            <v>190</v>
          </cell>
          <cell r="V679">
            <v>107</v>
          </cell>
          <cell r="W679">
            <v>477</v>
          </cell>
          <cell r="X679">
            <v>435</v>
          </cell>
          <cell r="Y679">
            <v>368</v>
          </cell>
          <cell r="Z679">
            <v>320</v>
          </cell>
          <cell r="AA679">
            <v>272</v>
          </cell>
          <cell r="AB679">
            <v>190</v>
          </cell>
          <cell r="AC679">
            <v>107</v>
          </cell>
        </row>
        <row r="680">
          <cell r="A680" t="str">
            <v>15-21-28</v>
          </cell>
          <cell r="B680">
            <v>580</v>
          </cell>
          <cell r="C680">
            <v>522</v>
          </cell>
          <cell r="D680">
            <v>433</v>
          </cell>
          <cell r="E680">
            <v>372</v>
          </cell>
          <cell r="F680">
            <v>310</v>
          </cell>
          <cell r="G680">
            <v>212</v>
          </cell>
          <cell r="H680">
            <v>113</v>
          </cell>
          <cell r="I680">
            <v>580</v>
          </cell>
          <cell r="J680">
            <v>522</v>
          </cell>
          <cell r="K680">
            <v>433</v>
          </cell>
          <cell r="L680">
            <v>372</v>
          </cell>
          <cell r="M680">
            <v>310</v>
          </cell>
          <cell r="N680">
            <v>212</v>
          </cell>
          <cell r="O680">
            <v>113</v>
          </cell>
          <cell r="P680">
            <v>435</v>
          </cell>
          <cell r="Q680">
            <v>399</v>
          </cell>
          <cell r="R680">
            <v>339</v>
          </cell>
          <cell r="S680">
            <v>296</v>
          </cell>
          <cell r="T680">
            <v>252</v>
          </cell>
          <cell r="U680">
            <v>176</v>
          </cell>
          <cell r="V680">
            <v>99</v>
          </cell>
          <cell r="W680">
            <v>435</v>
          </cell>
          <cell r="X680">
            <v>399</v>
          </cell>
          <cell r="Y680">
            <v>339</v>
          </cell>
          <cell r="Z680">
            <v>296</v>
          </cell>
          <cell r="AA680">
            <v>252</v>
          </cell>
          <cell r="AB680">
            <v>176</v>
          </cell>
          <cell r="AC680">
            <v>99</v>
          </cell>
        </row>
        <row r="681">
          <cell r="A681" t="str">
            <v>15-22-28</v>
          </cell>
          <cell r="B681">
            <v>517</v>
          </cell>
          <cell r="C681">
            <v>467</v>
          </cell>
          <cell r="D681">
            <v>389</v>
          </cell>
          <cell r="E681">
            <v>335</v>
          </cell>
          <cell r="F681">
            <v>280</v>
          </cell>
          <cell r="G681">
            <v>191</v>
          </cell>
          <cell r="H681">
            <v>102</v>
          </cell>
          <cell r="I681">
            <v>517</v>
          </cell>
          <cell r="J681">
            <v>467</v>
          </cell>
          <cell r="K681">
            <v>389</v>
          </cell>
          <cell r="L681">
            <v>335</v>
          </cell>
          <cell r="M681">
            <v>280</v>
          </cell>
          <cell r="N681">
            <v>191</v>
          </cell>
          <cell r="O681">
            <v>102</v>
          </cell>
          <cell r="P681">
            <v>388</v>
          </cell>
          <cell r="Q681">
            <v>358</v>
          </cell>
          <cell r="R681">
            <v>305</v>
          </cell>
          <cell r="S681">
            <v>266</v>
          </cell>
          <cell r="T681">
            <v>227</v>
          </cell>
          <cell r="U681">
            <v>158</v>
          </cell>
          <cell r="V681">
            <v>88</v>
          </cell>
          <cell r="W681">
            <v>388</v>
          </cell>
          <cell r="X681">
            <v>358</v>
          </cell>
          <cell r="Y681">
            <v>305</v>
          </cell>
          <cell r="Z681">
            <v>266</v>
          </cell>
          <cell r="AA681">
            <v>227</v>
          </cell>
          <cell r="AB681">
            <v>158</v>
          </cell>
          <cell r="AC681">
            <v>88</v>
          </cell>
        </row>
        <row r="682">
          <cell r="A682" t="str">
            <v>15-23-28</v>
          </cell>
          <cell r="B682">
            <v>453</v>
          </cell>
          <cell r="C682">
            <v>410</v>
          </cell>
          <cell r="D682">
            <v>345</v>
          </cell>
          <cell r="E682">
            <v>298</v>
          </cell>
          <cell r="F682">
            <v>250</v>
          </cell>
          <cell r="G682">
            <v>171</v>
          </cell>
          <cell r="H682">
            <v>91</v>
          </cell>
          <cell r="I682">
            <v>453</v>
          </cell>
          <cell r="J682">
            <v>410</v>
          </cell>
          <cell r="K682">
            <v>345</v>
          </cell>
          <cell r="L682">
            <v>298</v>
          </cell>
          <cell r="M682">
            <v>250</v>
          </cell>
          <cell r="N682">
            <v>171</v>
          </cell>
          <cell r="O682">
            <v>91</v>
          </cell>
          <cell r="P682">
            <v>340</v>
          </cell>
          <cell r="Q682">
            <v>314</v>
          </cell>
          <cell r="R682">
            <v>270</v>
          </cell>
          <cell r="S682">
            <v>237</v>
          </cell>
          <cell r="T682">
            <v>203</v>
          </cell>
          <cell r="U682">
            <v>141</v>
          </cell>
          <cell r="V682">
            <v>79</v>
          </cell>
          <cell r="W682">
            <v>340</v>
          </cell>
          <cell r="X682">
            <v>314</v>
          </cell>
          <cell r="Y682">
            <v>270</v>
          </cell>
          <cell r="Z682">
            <v>237</v>
          </cell>
          <cell r="AA682">
            <v>203</v>
          </cell>
          <cell r="AB682">
            <v>141</v>
          </cell>
          <cell r="AC682">
            <v>79</v>
          </cell>
        </row>
        <row r="683">
          <cell r="A683" t="str">
            <v>16-18-28</v>
          </cell>
          <cell r="B683">
            <v>733</v>
          </cell>
          <cell r="C683">
            <v>650</v>
          </cell>
          <cell r="D683">
            <v>530</v>
          </cell>
          <cell r="E683">
            <v>449</v>
          </cell>
          <cell r="F683">
            <v>367</v>
          </cell>
          <cell r="G683">
            <v>251</v>
          </cell>
          <cell r="H683">
            <v>134</v>
          </cell>
          <cell r="I683">
            <v>733</v>
          </cell>
          <cell r="J683">
            <v>650</v>
          </cell>
          <cell r="K683">
            <v>530</v>
          </cell>
          <cell r="L683">
            <v>449</v>
          </cell>
          <cell r="M683">
            <v>367</v>
          </cell>
          <cell r="N683">
            <v>251</v>
          </cell>
          <cell r="O683">
            <v>134</v>
          </cell>
          <cell r="P683">
            <v>550</v>
          </cell>
          <cell r="Q683">
            <v>497</v>
          </cell>
          <cell r="R683">
            <v>415</v>
          </cell>
          <cell r="S683">
            <v>357</v>
          </cell>
          <cell r="T683">
            <v>298</v>
          </cell>
          <cell r="U683">
            <v>208</v>
          </cell>
          <cell r="V683">
            <v>117</v>
          </cell>
          <cell r="W683">
            <v>550</v>
          </cell>
          <cell r="X683">
            <v>497</v>
          </cell>
          <cell r="Y683">
            <v>415</v>
          </cell>
          <cell r="Z683">
            <v>357</v>
          </cell>
          <cell r="AA683">
            <v>298</v>
          </cell>
          <cell r="AB683">
            <v>208</v>
          </cell>
          <cell r="AC683">
            <v>117</v>
          </cell>
        </row>
        <row r="684">
          <cell r="A684" t="str">
            <v>16-19-28</v>
          </cell>
          <cell r="B684">
            <v>680</v>
          </cell>
          <cell r="C684">
            <v>605</v>
          </cell>
          <cell r="D684">
            <v>496</v>
          </cell>
          <cell r="E684">
            <v>421</v>
          </cell>
          <cell r="F684">
            <v>346</v>
          </cell>
          <cell r="G684">
            <v>236</v>
          </cell>
          <cell r="H684">
            <v>126</v>
          </cell>
          <cell r="I684">
            <v>680</v>
          </cell>
          <cell r="J684">
            <v>605</v>
          </cell>
          <cell r="K684">
            <v>496</v>
          </cell>
          <cell r="L684">
            <v>421</v>
          </cell>
          <cell r="M684">
            <v>346</v>
          </cell>
          <cell r="N684">
            <v>236</v>
          </cell>
          <cell r="O684">
            <v>126</v>
          </cell>
          <cell r="P684">
            <v>510</v>
          </cell>
          <cell r="Q684">
            <v>463</v>
          </cell>
          <cell r="R684">
            <v>388</v>
          </cell>
          <cell r="S684">
            <v>335</v>
          </cell>
          <cell r="T684">
            <v>281</v>
          </cell>
          <cell r="U684">
            <v>196</v>
          </cell>
          <cell r="V684">
            <v>110</v>
          </cell>
          <cell r="W684">
            <v>510</v>
          </cell>
          <cell r="X684">
            <v>463</v>
          </cell>
          <cell r="Y684">
            <v>388</v>
          </cell>
          <cell r="Z684">
            <v>335</v>
          </cell>
          <cell r="AA684">
            <v>281</v>
          </cell>
          <cell r="AB684">
            <v>196</v>
          </cell>
          <cell r="AC684">
            <v>110</v>
          </cell>
        </row>
        <row r="685">
          <cell r="A685" t="str">
            <v>16-20-28</v>
          </cell>
          <cell r="B685">
            <v>627</v>
          </cell>
          <cell r="C685">
            <v>560</v>
          </cell>
          <cell r="D685">
            <v>461</v>
          </cell>
          <cell r="E685">
            <v>395</v>
          </cell>
          <cell r="F685">
            <v>328</v>
          </cell>
          <cell r="G685">
            <v>225</v>
          </cell>
          <cell r="H685">
            <v>121</v>
          </cell>
          <cell r="I685">
            <v>627</v>
          </cell>
          <cell r="J685">
            <v>560</v>
          </cell>
          <cell r="K685">
            <v>461</v>
          </cell>
          <cell r="L685">
            <v>395</v>
          </cell>
          <cell r="M685">
            <v>328</v>
          </cell>
          <cell r="N685">
            <v>225</v>
          </cell>
          <cell r="O685">
            <v>121</v>
          </cell>
          <cell r="P685">
            <v>470</v>
          </cell>
          <cell r="Q685">
            <v>428</v>
          </cell>
          <cell r="R685">
            <v>361</v>
          </cell>
          <cell r="S685">
            <v>314</v>
          </cell>
          <cell r="T685">
            <v>267</v>
          </cell>
          <cell r="U685">
            <v>186</v>
          </cell>
          <cell r="V685">
            <v>105</v>
          </cell>
          <cell r="W685">
            <v>470</v>
          </cell>
          <cell r="X685">
            <v>428</v>
          </cell>
          <cell r="Y685">
            <v>361</v>
          </cell>
          <cell r="Z685">
            <v>314</v>
          </cell>
          <cell r="AA685">
            <v>267</v>
          </cell>
          <cell r="AB685">
            <v>186</v>
          </cell>
          <cell r="AC685">
            <v>105</v>
          </cell>
        </row>
        <row r="686">
          <cell r="A686" t="str">
            <v>16-21-28</v>
          </cell>
          <cell r="B686">
            <v>572</v>
          </cell>
          <cell r="C686">
            <v>513</v>
          </cell>
          <cell r="D686">
            <v>426</v>
          </cell>
          <cell r="E686">
            <v>366</v>
          </cell>
          <cell r="F686">
            <v>305</v>
          </cell>
          <cell r="G686">
            <v>209</v>
          </cell>
          <cell r="H686">
            <v>112</v>
          </cell>
          <cell r="I686">
            <v>572</v>
          </cell>
          <cell r="J686">
            <v>513</v>
          </cell>
          <cell r="K686">
            <v>426</v>
          </cell>
          <cell r="L686">
            <v>366</v>
          </cell>
          <cell r="M686">
            <v>305</v>
          </cell>
          <cell r="N686">
            <v>209</v>
          </cell>
          <cell r="O686">
            <v>112</v>
          </cell>
          <cell r="P686">
            <v>429</v>
          </cell>
          <cell r="Q686">
            <v>392</v>
          </cell>
          <cell r="R686">
            <v>333</v>
          </cell>
          <cell r="S686">
            <v>290</v>
          </cell>
          <cell r="T686">
            <v>247</v>
          </cell>
          <cell r="U686">
            <v>173</v>
          </cell>
          <cell r="V686">
            <v>98</v>
          </cell>
          <cell r="W686">
            <v>429</v>
          </cell>
          <cell r="X686">
            <v>392</v>
          </cell>
          <cell r="Y686">
            <v>333</v>
          </cell>
          <cell r="Z686">
            <v>290</v>
          </cell>
          <cell r="AA686">
            <v>247</v>
          </cell>
          <cell r="AB686">
            <v>173</v>
          </cell>
          <cell r="AC686">
            <v>98</v>
          </cell>
        </row>
        <row r="687">
          <cell r="A687" t="str">
            <v>16-22-28</v>
          </cell>
          <cell r="B687">
            <v>512</v>
          </cell>
          <cell r="C687">
            <v>462</v>
          </cell>
          <cell r="D687">
            <v>386</v>
          </cell>
          <cell r="E687">
            <v>332</v>
          </cell>
          <cell r="F687">
            <v>278</v>
          </cell>
          <cell r="G687">
            <v>190</v>
          </cell>
          <cell r="H687">
            <v>102</v>
          </cell>
          <cell r="I687">
            <v>512</v>
          </cell>
          <cell r="J687">
            <v>462</v>
          </cell>
          <cell r="K687">
            <v>386</v>
          </cell>
          <cell r="L687">
            <v>332</v>
          </cell>
          <cell r="M687">
            <v>278</v>
          </cell>
          <cell r="N687">
            <v>190</v>
          </cell>
          <cell r="O687">
            <v>102</v>
          </cell>
          <cell r="P687">
            <v>384</v>
          </cell>
          <cell r="Q687">
            <v>354</v>
          </cell>
          <cell r="R687">
            <v>302</v>
          </cell>
          <cell r="S687">
            <v>264</v>
          </cell>
          <cell r="T687">
            <v>226</v>
          </cell>
          <cell r="U687">
            <v>157</v>
          </cell>
          <cell r="V687">
            <v>88</v>
          </cell>
          <cell r="W687">
            <v>384</v>
          </cell>
          <cell r="X687">
            <v>354</v>
          </cell>
          <cell r="Y687">
            <v>302</v>
          </cell>
          <cell r="Z687">
            <v>264</v>
          </cell>
          <cell r="AA687">
            <v>226</v>
          </cell>
          <cell r="AB687">
            <v>157</v>
          </cell>
          <cell r="AC687">
            <v>88</v>
          </cell>
        </row>
        <row r="688">
          <cell r="A688" t="str">
            <v>16-23-28</v>
          </cell>
          <cell r="B688">
            <v>448</v>
          </cell>
          <cell r="C688">
            <v>406</v>
          </cell>
          <cell r="D688">
            <v>341</v>
          </cell>
          <cell r="E688">
            <v>294</v>
          </cell>
          <cell r="F688">
            <v>247</v>
          </cell>
          <cell r="G688">
            <v>169</v>
          </cell>
          <cell r="H688">
            <v>90</v>
          </cell>
          <cell r="I688">
            <v>448</v>
          </cell>
          <cell r="J688">
            <v>406</v>
          </cell>
          <cell r="K688">
            <v>341</v>
          </cell>
          <cell r="L688">
            <v>294</v>
          </cell>
          <cell r="M688">
            <v>247</v>
          </cell>
          <cell r="N688">
            <v>169</v>
          </cell>
          <cell r="O688">
            <v>90</v>
          </cell>
          <cell r="P688">
            <v>336</v>
          </cell>
          <cell r="Q688">
            <v>311</v>
          </cell>
          <cell r="R688">
            <v>267</v>
          </cell>
          <cell r="S688">
            <v>234</v>
          </cell>
          <cell r="T688">
            <v>201</v>
          </cell>
          <cell r="U688">
            <v>140</v>
          </cell>
          <cell r="V688">
            <v>78</v>
          </cell>
          <cell r="W688">
            <v>336</v>
          </cell>
          <cell r="X688">
            <v>311</v>
          </cell>
          <cell r="Y688">
            <v>267</v>
          </cell>
          <cell r="Z688">
            <v>234</v>
          </cell>
          <cell r="AA688">
            <v>201</v>
          </cell>
          <cell r="AB688">
            <v>140</v>
          </cell>
          <cell r="AC688">
            <v>78</v>
          </cell>
        </row>
        <row r="689">
          <cell r="A689" t="str">
            <v>17-19-28</v>
          </cell>
          <cell r="B689">
            <v>671</v>
          </cell>
          <cell r="C689">
            <v>596</v>
          </cell>
          <cell r="D689">
            <v>488</v>
          </cell>
          <cell r="E689">
            <v>415</v>
          </cell>
          <cell r="F689">
            <v>341</v>
          </cell>
          <cell r="G689">
            <v>233</v>
          </cell>
          <cell r="H689">
            <v>124</v>
          </cell>
          <cell r="I689">
            <v>671</v>
          </cell>
          <cell r="J689">
            <v>596</v>
          </cell>
          <cell r="K689">
            <v>488</v>
          </cell>
          <cell r="L689">
            <v>415</v>
          </cell>
          <cell r="M689">
            <v>341</v>
          </cell>
          <cell r="N689">
            <v>233</v>
          </cell>
          <cell r="O689">
            <v>124</v>
          </cell>
          <cell r="P689">
            <v>503</v>
          </cell>
          <cell r="Q689">
            <v>456</v>
          </cell>
          <cell r="R689">
            <v>382</v>
          </cell>
          <cell r="S689">
            <v>330</v>
          </cell>
          <cell r="T689">
            <v>277</v>
          </cell>
          <cell r="U689">
            <v>193</v>
          </cell>
          <cell r="V689">
            <v>108</v>
          </cell>
          <cell r="W689">
            <v>503</v>
          </cell>
          <cell r="X689">
            <v>456</v>
          </cell>
          <cell r="Y689">
            <v>382</v>
          </cell>
          <cell r="Z689">
            <v>330</v>
          </cell>
          <cell r="AA689">
            <v>277</v>
          </cell>
          <cell r="AB689">
            <v>193</v>
          </cell>
          <cell r="AC689">
            <v>108</v>
          </cell>
        </row>
        <row r="690">
          <cell r="A690" t="str">
            <v>17-20-28</v>
          </cell>
          <cell r="B690">
            <v>617</v>
          </cell>
          <cell r="C690">
            <v>551</v>
          </cell>
          <cell r="D690">
            <v>454</v>
          </cell>
          <cell r="E690">
            <v>389</v>
          </cell>
          <cell r="F690">
            <v>324</v>
          </cell>
          <cell r="G690">
            <v>221</v>
          </cell>
          <cell r="H690">
            <v>118</v>
          </cell>
          <cell r="I690">
            <v>617</v>
          </cell>
          <cell r="J690">
            <v>551</v>
          </cell>
          <cell r="K690">
            <v>454</v>
          </cell>
          <cell r="L690">
            <v>389</v>
          </cell>
          <cell r="M690">
            <v>324</v>
          </cell>
          <cell r="N690">
            <v>221</v>
          </cell>
          <cell r="O690">
            <v>118</v>
          </cell>
          <cell r="P690">
            <v>462</v>
          </cell>
          <cell r="Q690">
            <v>421</v>
          </cell>
          <cell r="R690">
            <v>355</v>
          </cell>
          <cell r="S690">
            <v>309</v>
          </cell>
          <cell r="T690">
            <v>263</v>
          </cell>
          <cell r="U690">
            <v>183</v>
          </cell>
          <cell r="V690">
            <v>103</v>
          </cell>
          <cell r="W690">
            <v>462</v>
          </cell>
          <cell r="X690">
            <v>421</v>
          </cell>
          <cell r="Y690">
            <v>355</v>
          </cell>
          <cell r="Z690">
            <v>309</v>
          </cell>
          <cell r="AA690">
            <v>263</v>
          </cell>
          <cell r="AB690">
            <v>183</v>
          </cell>
          <cell r="AC690">
            <v>103</v>
          </cell>
        </row>
        <row r="691">
          <cell r="A691" t="str">
            <v>17-21-28</v>
          </cell>
          <cell r="B691">
            <v>561</v>
          </cell>
          <cell r="C691">
            <v>504</v>
          </cell>
          <cell r="D691">
            <v>417</v>
          </cell>
          <cell r="E691">
            <v>359</v>
          </cell>
          <cell r="F691">
            <v>300</v>
          </cell>
          <cell r="G691">
            <v>206</v>
          </cell>
          <cell r="H691">
            <v>111</v>
          </cell>
          <cell r="I691">
            <v>561</v>
          </cell>
          <cell r="J691">
            <v>504</v>
          </cell>
          <cell r="K691">
            <v>417</v>
          </cell>
          <cell r="L691">
            <v>359</v>
          </cell>
          <cell r="M691">
            <v>300</v>
          </cell>
          <cell r="N691">
            <v>206</v>
          </cell>
          <cell r="O691">
            <v>111</v>
          </cell>
          <cell r="P691">
            <v>421</v>
          </cell>
          <cell r="Q691">
            <v>385</v>
          </cell>
          <cell r="R691">
            <v>327</v>
          </cell>
          <cell r="S691">
            <v>285</v>
          </cell>
          <cell r="T691">
            <v>243</v>
          </cell>
          <cell r="U691">
            <v>170</v>
          </cell>
          <cell r="V691">
            <v>96</v>
          </cell>
          <cell r="W691">
            <v>421</v>
          </cell>
          <cell r="X691">
            <v>385</v>
          </cell>
          <cell r="Y691">
            <v>327</v>
          </cell>
          <cell r="Z691">
            <v>285</v>
          </cell>
          <cell r="AA691">
            <v>243</v>
          </cell>
          <cell r="AB691">
            <v>170</v>
          </cell>
          <cell r="AC691">
            <v>96</v>
          </cell>
        </row>
        <row r="692">
          <cell r="A692" t="str">
            <v>17-22-28</v>
          </cell>
          <cell r="B692">
            <v>505</v>
          </cell>
          <cell r="C692">
            <v>456</v>
          </cell>
          <cell r="D692">
            <v>380</v>
          </cell>
          <cell r="E692">
            <v>328</v>
          </cell>
          <cell r="F692">
            <v>275</v>
          </cell>
          <cell r="G692">
            <v>189</v>
          </cell>
          <cell r="H692">
            <v>102</v>
          </cell>
          <cell r="I692">
            <v>505</v>
          </cell>
          <cell r="J692">
            <v>456</v>
          </cell>
          <cell r="K692">
            <v>380</v>
          </cell>
          <cell r="L692">
            <v>328</v>
          </cell>
          <cell r="M692">
            <v>275</v>
          </cell>
          <cell r="N692">
            <v>189</v>
          </cell>
          <cell r="O692">
            <v>102</v>
          </cell>
          <cell r="P692">
            <v>378</v>
          </cell>
          <cell r="Q692">
            <v>349</v>
          </cell>
          <cell r="R692">
            <v>297</v>
          </cell>
          <cell r="S692">
            <v>260</v>
          </cell>
          <cell r="T692">
            <v>223</v>
          </cell>
          <cell r="U692">
            <v>156</v>
          </cell>
          <cell r="V692">
            <v>88</v>
          </cell>
          <cell r="W692">
            <v>378</v>
          </cell>
          <cell r="X692">
            <v>349</v>
          </cell>
          <cell r="Y692">
            <v>297</v>
          </cell>
          <cell r="Z692">
            <v>260</v>
          </cell>
          <cell r="AA692">
            <v>223</v>
          </cell>
          <cell r="AB692">
            <v>156</v>
          </cell>
          <cell r="AC692">
            <v>88</v>
          </cell>
        </row>
        <row r="693">
          <cell r="A693" t="str">
            <v>17-23-28</v>
          </cell>
          <cell r="B693">
            <v>441</v>
          </cell>
          <cell r="C693">
            <v>401</v>
          </cell>
          <cell r="D693">
            <v>337</v>
          </cell>
          <cell r="E693">
            <v>291</v>
          </cell>
          <cell r="F693">
            <v>244</v>
          </cell>
          <cell r="G693">
            <v>167</v>
          </cell>
          <cell r="H693">
            <v>90</v>
          </cell>
          <cell r="I693">
            <v>441</v>
          </cell>
          <cell r="J693">
            <v>401</v>
          </cell>
          <cell r="K693">
            <v>337</v>
          </cell>
          <cell r="L693">
            <v>291</v>
          </cell>
          <cell r="M693">
            <v>244</v>
          </cell>
          <cell r="N693">
            <v>167</v>
          </cell>
          <cell r="O693">
            <v>90</v>
          </cell>
          <cell r="P693">
            <v>330</v>
          </cell>
          <cell r="Q693">
            <v>307</v>
          </cell>
          <cell r="R693">
            <v>264</v>
          </cell>
          <cell r="S693">
            <v>232</v>
          </cell>
          <cell r="T693">
            <v>199</v>
          </cell>
          <cell r="U693">
            <v>139</v>
          </cell>
          <cell r="V693">
            <v>78</v>
          </cell>
          <cell r="W693">
            <v>330</v>
          </cell>
          <cell r="X693">
            <v>307</v>
          </cell>
          <cell r="Y693">
            <v>264</v>
          </cell>
          <cell r="Z693">
            <v>232</v>
          </cell>
          <cell r="AA693">
            <v>199</v>
          </cell>
          <cell r="AB693">
            <v>139</v>
          </cell>
          <cell r="AC693">
            <v>78</v>
          </cell>
        </row>
        <row r="694">
          <cell r="A694" t="str">
            <v>18-20-28</v>
          </cell>
          <cell r="B694">
            <v>607</v>
          </cell>
          <cell r="C694">
            <v>541</v>
          </cell>
          <cell r="D694">
            <v>446</v>
          </cell>
          <cell r="E694">
            <v>382</v>
          </cell>
          <cell r="F694">
            <v>317</v>
          </cell>
          <cell r="G694">
            <v>217</v>
          </cell>
          <cell r="H694">
            <v>117</v>
          </cell>
          <cell r="I694">
            <v>607</v>
          </cell>
          <cell r="J694">
            <v>541</v>
          </cell>
          <cell r="K694">
            <v>446</v>
          </cell>
          <cell r="L694">
            <v>382</v>
          </cell>
          <cell r="M694">
            <v>317</v>
          </cell>
          <cell r="N694">
            <v>217</v>
          </cell>
          <cell r="O694">
            <v>117</v>
          </cell>
          <cell r="P694">
            <v>455</v>
          </cell>
          <cell r="Q694">
            <v>414</v>
          </cell>
          <cell r="R694">
            <v>349</v>
          </cell>
          <cell r="S694">
            <v>304</v>
          </cell>
          <cell r="T694">
            <v>258</v>
          </cell>
          <cell r="U694">
            <v>180</v>
          </cell>
          <cell r="V694">
            <v>102</v>
          </cell>
          <cell r="W694">
            <v>455</v>
          </cell>
          <cell r="X694">
            <v>414</v>
          </cell>
          <cell r="Y694">
            <v>349</v>
          </cell>
          <cell r="Z694">
            <v>304</v>
          </cell>
          <cell r="AA694">
            <v>258</v>
          </cell>
          <cell r="AB694">
            <v>180</v>
          </cell>
          <cell r="AC694">
            <v>102</v>
          </cell>
        </row>
        <row r="695">
          <cell r="A695" t="str">
            <v>18-21-28</v>
          </cell>
          <cell r="B695">
            <v>551</v>
          </cell>
          <cell r="C695">
            <v>495</v>
          </cell>
          <cell r="D695">
            <v>409</v>
          </cell>
          <cell r="E695">
            <v>351</v>
          </cell>
          <cell r="F695">
            <v>293</v>
          </cell>
          <cell r="G695">
            <v>201</v>
          </cell>
          <cell r="H695">
            <v>108</v>
          </cell>
          <cell r="I695">
            <v>551</v>
          </cell>
          <cell r="J695">
            <v>495</v>
          </cell>
          <cell r="K695">
            <v>409</v>
          </cell>
          <cell r="L695">
            <v>351</v>
          </cell>
          <cell r="M695">
            <v>293</v>
          </cell>
          <cell r="N695">
            <v>201</v>
          </cell>
          <cell r="O695">
            <v>108</v>
          </cell>
          <cell r="P695">
            <v>413</v>
          </cell>
          <cell r="Q695">
            <v>378</v>
          </cell>
          <cell r="R695">
            <v>320</v>
          </cell>
          <cell r="S695">
            <v>279</v>
          </cell>
          <cell r="T695">
            <v>238</v>
          </cell>
          <cell r="U695">
            <v>166</v>
          </cell>
          <cell r="V695">
            <v>94</v>
          </cell>
          <cell r="W695">
            <v>413</v>
          </cell>
          <cell r="X695">
            <v>378</v>
          </cell>
          <cell r="Y695">
            <v>320</v>
          </cell>
          <cell r="Z695">
            <v>279</v>
          </cell>
          <cell r="AA695">
            <v>238</v>
          </cell>
          <cell r="AB695">
            <v>166</v>
          </cell>
          <cell r="AC695">
            <v>94</v>
          </cell>
        </row>
        <row r="696">
          <cell r="A696" t="str">
            <v>18-22-28</v>
          </cell>
          <cell r="B696">
            <v>495</v>
          </cell>
          <cell r="C696">
            <v>446</v>
          </cell>
          <cell r="D696">
            <v>372</v>
          </cell>
          <cell r="E696">
            <v>321</v>
          </cell>
          <cell r="F696">
            <v>269</v>
          </cell>
          <cell r="G696">
            <v>185</v>
          </cell>
          <cell r="H696">
            <v>100</v>
          </cell>
          <cell r="I696">
            <v>495</v>
          </cell>
          <cell r="J696">
            <v>446</v>
          </cell>
          <cell r="K696">
            <v>372</v>
          </cell>
          <cell r="L696">
            <v>321</v>
          </cell>
          <cell r="M696">
            <v>269</v>
          </cell>
          <cell r="N696">
            <v>185</v>
          </cell>
          <cell r="O696">
            <v>100</v>
          </cell>
          <cell r="P696">
            <v>371</v>
          </cell>
          <cell r="Q696">
            <v>341</v>
          </cell>
          <cell r="R696">
            <v>291</v>
          </cell>
          <cell r="S696">
            <v>255</v>
          </cell>
          <cell r="T696">
            <v>219</v>
          </cell>
          <cell r="U696">
            <v>153</v>
          </cell>
          <cell r="V696">
            <v>87</v>
          </cell>
          <cell r="W696">
            <v>371</v>
          </cell>
          <cell r="X696">
            <v>341</v>
          </cell>
          <cell r="Y696">
            <v>291</v>
          </cell>
          <cell r="Z696">
            <v>255</v>
          </cell>
          <cell r="AA696">
            <v>219</v>
          </cell>
          <cell r="AB696">
            <v>153</v>
          </cell>
          <cell r="AC696">
            <v>87</v>
          </cell>
        </row>
        <row r="697">
          <cell r="A697" t="str">
            <v>18-23-28</v>
          </cell>
          <cell r="B697">
            <v>435</v>
          </cell>
          <cell r="C697">
            <v>395</v>
          </cell>
          <cell r="D697">
            <v>331</v>
          </cell>
          <cell r="E697">
            <v>287</v>
          </cell>
          <cell r="F697">
            <v>242</v>
          </cell>
          <cell r="G697">
            <v>166</v>
          </cell>
          <cell r="H697">
            <v>90</v>
          </cell>
          <cell r="I697">
            <v>435</v>
          </cell>
          <cell r="J697">
            <v>395</v>
          </cell>
          <cell r="K697">
            <v>331</v>
          </cell>
          <cell r="L697">
            <v>287</v>
          </cell>
          <cell r="M697">
            <v>242</v>
          </cell>
          <cell r="N697">
            <v>166</v>
          </cell>
          <cell r="O697">
            <v>90</v>
          </cell>
          <cell r="P697">
            <v>326</v>
          </cell>
          <cell r="Q697">
            <v>302</v>
          </cell>
          <cell r="R697">
            <v>259</v>
          </cell>
          <cell r="S697">
            <v>228</v>
          </cell>
          <cell r="T697">
            <v>197</v>
          </cell>
          <cell r="U697">
            <v>138</v>
          </cell>
          <cell r="V697">
            <v>78</v>
          </cell>
          <cell r="W697">
            <v>326</v>
          </cell>
          <cell r="X697">
            <v>302</v>
          </cell>
          <cell r="Y697">
            <v>259</v>
          </cell>
          <cell r="Z697">
            <v>228</v>
          </cell>
          <cell r="AA697">
            <v>197</v>
          </cell>
          <cell r="AB697">
            <v>138</v>
          </cell>
          <cell r="AC697">
            <v>78</v>
          </cell>
        </row>
        <row r="698">
          <cell r="A698" t="str">
            <v>19-21-28</v>
          </cell>
          <cell r="B698">
            <v>541</v>
          </cell>
          <cell r="C698">
            <v>485</v>
          </cell>
          <cell r="D698">
            <v>400</v>
          </cell>
          <cell r="E698">
            <v>344</v>
          </cell>
          <cell r="F698">
            <v>287</v>
          </cell>
          <cell r="G698">
            <v>197</v>
          </cell>
          <cell r="H698">
            <v>106</v>
          </cell>
          <cell r="I698">
            <v>541</v>
          </cell>
          <cell r="J698">
            <v>485</v>
          </cell>
          <cell r="K698">
            <v>400</v>
          </cell>
          <cell r="L698">
            <v>344</v>
          </cell>
          <cell r="M698">
            <v>287</v>
          </cell>
          <cell r="N698">
            <v>197</v>
          </cell>
          <cell r="O698">
            <v>106</v>
          </cell>
          <cell r="P698">
            <v>405</v>
          </cell>
          <cell r="Q698">
            <v>371</v>
          </cell>
          <cell r="R698">
            <v>313</v>
          </cell>
          <cell r="S698">
            <v>273</v>
          </cell>
          <cell r="T698">
            <v>233</v>
          </cell>
          <cell r="U698">
            <v>163</v>
          </cell>
          <cell r="V698">
            <v>92</v>
          </cell>
          <cell r="W698">
            <v>405</v>
          </cell>
          <cell r="X698">
            <v>371</v>
          </cell>
          <cell r="Y698">
            <v>313</v>
          </cell>
          <cell r="Z698">
            <v>273</v>
          </cell>
          <cell r="AA698">
            <v>233</v>
          </cell>
          <cell r="AB698">
            <v>163</v>
          </cell>
          <cell r="AC698">
            <v>92</v>
          </cell>
        </row>
        <row r="699">
          <cell r="A699" t="str">
            <v>19-22-28</v>
          </cell>
          <cell r="B699">
            <v>484</v>
          </cell>
          <cell r="C699">
            <v>436</v>
          </cell>
          <cell r="D699">
            <v>364</v>
          </cell>
          <cell r="E699">
            <v>313</v>
          </cell>
          <cell r="F699">
            <v>262</v>
          </cell>
          <cell r="G699">
            <v>180</v>
          </cell>
          <cell r="H699">
            <v>97</v>
          </cell>
          <cell r="I699">
            <v>484</v>
          </cell>
          <cell r="J699">
            <v>436</v>
          </cell>
          <cell r="K699">
            <v>364</v>
          </cell>
          <cell r="L699">
            <v>313</v>
          </cell>
          <cell r="M699">
            <v>262</v>
          </cell>
          <cell r="N699">
            <v>180</v>
          </cell>
          <cell r="O699">
            <v>97</v>
          </cell>
          <cell r="P699">
            <v>363</v>
          </cell>
          <cell r="Q699">
            <v>334</v>
          </cell>
          <cell r="R699">
            <v>285</v>
          </cell>
          <cell r="S699">
            <v>249</v>
          </cell>
          <cell r="T699">
            <v>213</v>
          </cell>
          <cell r="U699">
            <v>149</v>
          </cell>
          <cell r="V699">
            <v>85</v>
          </cell>
          <cell r="W699">
            <v>363</v>
          </cell>
          <cell r="X699">
            <v>334</v>
          </cell>
          <cell r="Y699">
            <v>285</v>
          </cell>
          <cell r="Z699">
            <v>249</v>
          </cell>
          <cell r="AA699">
            <v>213</v>
          </cell>
          <cell r="AB699">
            <v>149</v>
          </cell>
          <cell r="AC699">
            <v>85</v>
          </cell>
        </row>
        <row r="700">
          <cell r="A700" t="str">
            <v>19-23-28</v>
          </cell>
          <cell r="B700">
            <v>426</v>
          </cell>
          <cell r="C700">
            <v>386</v>
          </cell>
          <cell r="D700">
            <v>325</v>
          </cell>
          <cell r="E700">
            <v>281</v>
          </cell>
          <cell r="F700">
            <v>237</v>
          </cell>
          <cell r="G700">
            <v>163</v>
          </cell>
          <cell r="H700">
            <v>89</v>
          </cell>
          <cell r="I700">
            <v>426</v>
          </cell>
          <cell r="J700">
            <v>386</v>
          </cell>
          <cell r="K700">
            <v>325</v>
          </cell>
          <cell r="L700">
            <v>281</v>
          </cell>
          <cell r="M700">
            <v>237</v>
          </cell>
          <cell r="N700">
            <v>163</v>
          </cell>
          <cell r="O700">
            <v>89</v>
          </cell>
          <cell r="P700">
            <v>319</v>
          </cell>
          <cell r="Q700">
            <v>295</v>
          </cell>
          <cell r="R700">
            <v>254</v>
          </cell>
          <cell r="S700">
            <v>224</v>
          </cell>
          <cell r="T700">
            <v>193</v>
          </cell>
          <cell r="U700">
            <v>136</v>
          </cell>
          <cell r="V700">
            <v>78</v>
          </cell>
          <cell r="W700">
            <v>319</v>
          </cell>
          <cell r="X700">
            <v>295</v>
          </cell>
          <cell r="Y700">
            <v>254</v>
          </cell>
          <cell r="Z700">
            <v>224</v>
          </cell>
          <cell r="AA700">
            <v>193</v>
          </cell>
          <cell r="AB700">
            <v>136</v>
          </cell>
          <cell r="AC700">
            <v>78</v>
          </cell>
        </row>
        <row r="701">
          <cell r="A701" t="str">
            <v>20-22-28</v>
          </cell>
          <cell r="B701">
            <v>473</v>
          </cell>
          <cell r="C701">
            <v>425</v>
          </cell>
          <cell r="D701">
            <v>354</v>
          </cell>
          <cell r="E701">
            <v>305</v>
          </cell>
          <cell r="F701">
            <v>256</v>
          </cell>
          <cell r="G701">
            <v>176</v>
          </cell>
          <cell r="H701">
            <v>95</v>
          </cell>
          <cell r="I701">
            <v>473</v>
          </cell>
          <cell r="J701">
            <v>425</v>
          </cell>
          <cell r="K701">
            <v>354</v>
          </cell>
          <cell r="L701">
            <v>305</v>
          </cell>
          <cell r="M701">
            <v>256</v>
          </cell>
          <cell r="N701">
            <v>176</v>
          </cell>
          <cell r="O701">
            <v>95</v>
          </cell>
          <cell r="P701">
            <v>355</v>
          </cell>
          <cell r="Q701">
            <v>325</v>
          </cell>
          <cell r="R701">
            <v>277</v>
          </cell>
          <cell r="S701">
            <v>243</v>
          </cell>
          <cell r="T701">
            <v>208</v>
          </cell>
          <cell r="U701">
            <v>146</v>
          </cell>
          <cell r="V701">
            <v>83</v>
          </cell>
          <cell r="W701">
            <v>355</v>
          </cell>
          <cell r="X701">
            <v>325</v>
          </cell>
          <cell r="Y701">
            <v>277</v>
          </cell>
          <cell r="Z701">
            <v>243</v>
          </cell>
          <cell r="AA701">
            <v>208</v>
          </cell>
          <cell r="AB701">
            <v>146</v>
          </cell>
          <cell r="AC701">
            <v>83</v>
          </cell>
        </row>
        <row r="702">
          <cell r="A702" t="str">
            <v>20-23-28</v>
          </cell>
          <cell r="B702">
            <v>415</v>
          </cell>
          <cell r="C702">
            <v>376</v>
          </cell>
          <cell r="D702">
            <v>315</v>
          </cell>
          <cell r="E702">
            <v>272</v>
          </cell>
          <cell r="F702">
            <v>229</v>
          </cell>
          <cell r="G702">
            <v>158</v>
          </cell>
          <cell r="H702">
            <v>87</v>
          </cell>
          <cell r="I702">
            <v>415</v>
          </cell>
          <cell r="J702">
            <v>376</v>
          </cell>
          <cell r="K702">
            <v>315</v>
          </cell>
          <cell r="L702">
            <v>272</v>
          </cell>
          <cell r="M702">
            <v>229</v>
          </cell>
          <cell r="N702">
            <v>158</v>
          </cell>
          <cell r="O702">
            <v>87</v>
          </cell>
          <cell r="P702">
            <v>311</v>
          </cell>
          <cell r="Q702">
            <v>288</v>
          </cell>
          <cell r="R702">
            <v>247</v>
          </cell>
          <cell r="S702">
            <v>217</v>
          </cell>
          <cell r="T702">
            <v>186</v>
          </cell>
          <cell r="U702">
            <v>131</v>
          </cell>
          <cell r="V702">
            <v>75</v>
          </cell>
          <cell r="W702">
            <v>311</v>
          </cell>
          <cell r="X702">
            <v>288</v>
          </cell>
          <cell r="Y702">
            <v>247</v>
          </cell>
          <cell r="Z702">
            <v>217</v>
          </cell>
          <cell r="AA702">
            <v>186</v>
          </cell>
          <cell r="AB702">
            <v>131</v>
          </cell>
          <cell r="AC702">
            <v>75</v>
          </cell>
        </row>
        <row r="703">
          <cell r="A703" t="str">
            <v>4-6-29</v>
          </cell>
          <cell r="B703">
            <v>2351</v>
          </cell>
          <cell r="C703">
            <v>2031</v>
          </cell>
          <cell r="D703">
            <v>1634</v>
          </cell>
          <cell r="E703">
            <v>1398</v>
          </cell>
          <cell r="F703">
            <v>1161</v>
          </cell>
          <cell r="G703">
            <v>812</v>
          </cell>
          <cell r="H703">
            <v>462</v>
          </cell>
          <cell r="I703">
            <v>1391</v>
          </cell>
          <cell r="J703">
            <v>1196</v>
          </cell>
          <cell r="K703">
            <v>959</v>
          </cell>
          <cell r="L703">
            <v>819</v>
          </cell>
          <cell r="M703">
            <v>678</v>
          </cell>
          <cell r="N703">
            <v>474</v>
          </cell>
          <cell r="O703">
            <v>269</v>
          </cell>
          <cell r="P703">
            <v>1763</v>
          </cell>
          <cell r="Q703">
            <v>1554</v>
          </cell>
          <cell r="R703">
            <v>1279</v>
          </cell>
          <cell r="S703">
            <v>1111</v>
          </cell>
          <cell r="T703">
            <v>943</v>
          </cell>
          <cell r="U703">
            <v>673</v>
          </cell>
          <cell r="V703">
            <v>402</v>
          </cell>
          <cell r="W703">
            <v>1043</v>
          </cell>
          <cell r="X703">
            <v>915</v>
          </cell>
          <cell r="Y703">
            <v>750</v>
          </cell>
          <cell r="Z703">
            <v>651</v>
          </cell>
          <cell r="AA703">
            <v>551</v>
          </cell>
          <cell r="AB703">
            <v>393</v>
          </cell>
          <cell r="AC703">
            <v>234</v>
          </cell>
        </row>
        <row r="704">
          <cell r="A704" t="str">
            <v>4-7-29</v>
          </cell>
          <cell r="B704">
            <v>2247</v>
          </cell>
          <cell r="C704">
            <v>1944</v>
          </cell>
          <cell r="D704">
            <v>1568</v>
          </cell>
          <cell r="E704">
            <v>1341</v>
          </cell>
          <cell r="F704">
            <v>1114</v>
          </cell>
          <cell r="G704">
            <v>779</v>
          </cell>
          <cell r="H704">
            <v>443</v>
          </cell>
          <cell r="I704">
            <v>1344</v>
          </cell>
          <cell r="J704">
            <v>1157</v>
          </cell>
          <cell r="K704">
            <v>928</v>
          </cell>
          <cell r="L704">
            <v>793</v>
          </cell>
          <cell r="M704">
            <v>657</v>
          </cell>
          <cell r="N704">
            <v>459</v>
          </cell>
          <cell r="O704">
            <v>260</v>
          </cell>
          <cell r="P704">
            <v>1684</v>
          </cell>
          <cell r="Q704">
            <v>1487</v>
          </cell>
          <cell r="R704">
            <v>1228</v>
          </cell>
          <cell r="S704">
            <v>1067</v>
          </cell>
          <cell r="T704">
            <v>905</v>
          </cell>
          <cell r="U704">
            <v>646</v>
          </cell>
          <cell r="V704">
            <v>386</v>
          </cell>
          <cell r="W704">
            <v>1007</v>
          </cell>
          <cell r="X704">
            <v>885</v>
          </cell>
          <cell r="Y704">
            <v>727</v>
          </cell>
          <cell r="Z704">
            <v>630</v>
          </cell>
          <cell r="AA704">
            <v>533</v>
          </cell>
          <cell r="AB704">
            <v>380</v>
          </cell>
          <cell r="AC704">
            <v>226</v>
          </cell>
        </row>
        <row r="705">
          <cell r="A705" t="str">
            <v>4-8-29</v>
          </cell>
          <cell r="B705">
            <v>2138</v>
          </cell>
          <cell r="C705">
            <v>1858</v>
          </cell>
          <cell r="D705">
            <v>1502</v>
          </cell>
          <cell r="E705">
            <v>1285</v>
          </cell>
          <cell r="F705">
            <v>1067</v>
          </cell>
          <cell r="G705">
            <v>745</v>
          </cell>
          <cell r="H705">
            <v>423</v>
          </cell>
          <cell r="I705">
            <v>1296</v>
          </cell>
          <cell r="J705">
            <v>1119</v>
          </cell>
          <cell r="K705">
            <v>899</v>
          </cell>
          <cell r="L705">
            <v>767</v>
          </cell>
          <cell r="M705">
            <v>634</v>
          </cell>
          <cell r="N705">
            <v>442</v>
          </cell>
          <cell r="O705">
            <v>250</v>
          </cell>
          <cell r="P705">
            <v>1603</v>
          </cell>
          <cell r="Q705">
            <v>1421</v>
          </cell>
          <cell r="R705">
            <v>1175</v>
          </cell>
          <cell r="S705">
            <v>1021</v>
          </cell>
          <cell r="T705">
            <v>867</v>
          </cell>
          <cell r="U705">
            <v>618</v>
          </cell>
          <cell r="V705">
            <v>368</v>
          </cell>
          <cell r="W705">
            <v>972</v>
          </cell>
          <cell r="X705">
            <v>856</v>
          </cell>
          <cell r="Y705">
            <v>704</v>
          </cell>
          <cell r="Z705">
            <v>610</v>
          </cell>
          <cell r="AA705">
            <v>516</v>
          </cell>
          <cell r="AB705">
            <v>367</v>
          </cell>
          <cell r="AC705">
            <v>217</v>
          </cell>
        </row>
        <row r="706">
          <cell r="A706" t="str">
            <v>4-9-29</v>
          </cell>
          <cell r="B706">
            <v>2028</v>
          </cell>
          <cell r="C706">
            <v>1767</v>
          </cell>
          <cell r="D706">
            <v>1431</v>
          </cell>
          <cell r="E706">
            <v>1225</v>
          </cell>
          <cell r="F706">
            <v>1018</v>
          </cell>
          <cell r="G706">
            <v>710</v>
          </cell>
          <cell r="H706">
            <v>401</v>
          </cell>
          <cell r="I706">
            <v>1251</v>
          </cell>
          <cell r="J706">
            <v>1082</v>
          </cell>
          <cell r="K706">
            <v>869</v>
          </cell>
          <cell r="L706">
            <v>741</v>
          </cell>
          <cell r="M706">
            <v>613</v>
          </cell>
          <cell r="N706">
            <v>427</v>
          </cell>
          <cell r="O706">
            <v>240</v>
          </cell>
          <cell r="P706">
            <v>1520</v>
          </cell>
          <cell r="Q706">
            <v>1352</v>
          </cell>
          <cell r="R706">
            <v>1120</v>
          </cell>
          <cell r="S706">
            <v>974</v>
          </cell>
          <cell r="T706">
            <v>827</v>
          </cell>
          <cell r="U706">
            <v>588</v>
          </cell>
          <cell r="V706">
            <v>349</v>
          </cell>
          <cell r="W706">
            <v>938</v>
          </cell>
          <cell r="X706">
            <v>828</v>
          </cell>
          <cell r="Y706">
            <v>680</v>
          </cell>
          <cell r="Z706">
            <v>589</v>
          </cell>
          <cell r="AA706">
            <v>498</v>
          </cell>
          <cell r="AB706">
            <v>354</v>
          </cell>
          <cell r="AC706">
            <v>209</v>
          </cell>
        </row>
        <row r="707">
          <cell r="A707" t="str">
            <v>4-10-29</v>
          </cell>
          <cell r="B707">
            <v>1914</v>
          </cell>
          <cell r="C707">
            <v>1673</v>
          </cell>
          <cell r="D707">
            <v>1360</v>
          </cell>
          <cell r="E707">
            <v>1164</v>
          </cell>
          <cell r="F707">
            <v>967</v>
          </cell>
          <cell r="G707">
            <v>674</v>
          </cell>
          <cell r="H707">
            <v>380</v>
          </cell>
          <cell r="I707">
            <v>1205</v>
          </cell>
          <cell r="J707">
            <v>1043</v>
          </cell>
          <cell r="K707">
            <v>840</v>
          </cell>
          <cell r="L707">
            <v>716</v>
          </cell>
          <cell r="M707">
            <v>591</v>
          </cell>
          <cell r="N707">
            <v>411</v>
          </cell>
          <cell r="O707">
            <v>230</v>
          </cell>
          <cell r="P707">
            <v>1435</v>
          </cell>
          <cell r="Q707">
            <v>1280</v>
          </cell>
          <cell r="R707">
            <v>1064</v>
          </cell>
          <cell r="S707">
            <v>925</v>
          </cell>
          <cell r="T707">
            <v>785</v>
          </cell>
          <cell r="U707">
            <v>558</v>
          </cell>
          <cell r="V707">
            <v>331</v>
          </cell>
          <cell r="W707">
            <v>903</v>
          </cell>
          <cell r="X707">
            <v>798</v>
          </cell>
          <cell r="Y707">
            <v>657</v>
          </cell>
          <cell r="Z707">
            <v>569</v>
          </cell>
          <cell r="AA707">
            <v>480</v>
          </cell>
          <cell r="AB707">
            <v>341</v>
          </cell>
          <cell r="AC707">
            <v>201</v>
          </cell>
        </row>
        <row r="708">
          <cell r="A708" t="str">
            <v>4-11-29</v>
          </cell>
          <cell r="B708">
            <v>1796</v>
          </cell>
          <cell r="C708">
            <v>1575</v>
          </cell>
          <cell r="D708">
            <v>1284</v>
          </cell>
          <cell r="E708">
            <v>1099</v>
          </cell>
          <cell r="F708">
            <v>914</v>
          </cell>
          <cell r="G708">
            <v>637</v>
          </cell>
          <cell r="H708">
            <v>359</v>
          </cell>
          <cell r="I708">
            <v>1160</v>
          </cell>
          <cell r="J708">
            <v>1005</v>
          </cell>
          <cell r="K708">
            <v>809</v>
          </cell>
          <cell r="L708">
            <v>689</v>
          </cell>
          <cell r="M708">
            <v>569</v>
          </cell>
          <cell r="N708">
            <v>395</v>
          </cell>
          <cell r="O708">
            <v>221</v>
          </cell>
          <cell r="P708">
            <v>1346</v>
          </cell>
          <cell r="Q708">
            <v>1205</v>
          </cell>
          <cell r="R708">
            <v>1005</v>
          </cell>
          <cell r="S708">
            <v>874</v>
          </cell>
          <cell r="T708">
            <v>742</v>
          </cell>
          <cell r="U708">
            <v>527</v>
          </cell>
          <cell r="V708">
            <v>312</v>
          </cell>
          <cell r="W708">
            <v>869</v>
          </cell>
          <cell r="X708">
            <v>769</v>
          </cell>
          <cell r="Y708">
            <v>633</v>
          </cell>
          <cell r="Z708">
            <v>548</v>
          </cell>
          <cell r="AA708">
            <v>462</v>
          </cell>
          <cell r="AB708">
            <v>327</v>
          </cell>
          <cell r="AC708">
            <v>192</v>
          </cell>
        </row>
        <row r="709">
          <cell r="A709" t="str">
            <v>4-12-29</v>
          </cell>
          <cell r="B709">
            <v>1673</v>
          </cell>
          <cell r="C709">
            <v>1472</v>
          </cell>
          <cell r="D709">
            <v>1203</v>
          </cell>
          <cell r="E709">
            <v>1030</v>
          </cell>
          <cell r="F709">
            <v>856</v>
          </cell>
          <cell r="G709">
            <v>596</v>
          </cell>
          <cell r="H709">
            <v>335</v>
          </cell>
          <cell r="I709">
            <v>1114</v>
          </cell>
          <cell r="J709">
            <v>967</v>
          </cell>
          <cell r="K709">
            <v>778</v>
          </cell>
          <cell r="L709">
            <v>662</v>
          </cell>
          <cell r="M709">
            <v>546</v>
          </cell>
          <cell r="N709">
            <v>378</v>
          </cell>
          <cell r="O709">
            <v>210</v>
          </cell>
          <cell r="P709">
            <v>1254</v>
          </cell>
          <cell r="Q709">
            <v>1126</v>
          </cell>
          <cell r="R709">
            <v>942</v>
          </cell>
          <cell r="S709">
            <v>819</v>
          </cell>
          <cell r="T709">
            <v>696</v>
          </cell>
          <cell r="U709">
            <v>494</v>
          </cell>
          <cell r="V709">
            <v>292</v>
          </cell>
          <cell r="W709">
            <v>835</v>
          </cell>
          <cell r="X709">
            <v>740</v>
          </cell>
          <cell r="Y709">
            <v>610</v>
          </cell>
          <cell r="Z709">
            <v>527</v>
          </cell>
          <cell r="AA709">
            <v>444</v>
          </cell>
          <cell r="AB709">
            <v>314</v>
          </cell>
          <cell r="AC709">
            <v>183</v>
          </cell>
        </row>
        <row r="710">
          <cell r="A710" t="str">
            <v>5-7-29</v>
          </cell>
          <cell r="B710">
            <v>2247</v>
          </cell>
          <cell r="C710">
            <v>1943</v>
          </cell>
          <cell r="D710">
            <v>1565</v>
          </cell>
          <cell r="E710">
            <v>1338</v>
          </cell>
          <cell r="F710">
            <v>1110</v>
          </cell>
          <cell r="G710">
            <v>775</v>
          </cell>
          <cell r="H710">
            <v>439</v>
          </cell>
          <cell r="I710">
            <v>1344</v>
          </cell>
          <cell r="J710">
            <v>1156</v>
          </cell>
          <cell r="K710">
            <v>927</v>
          </cell>
          <cell r="L710">
            <v>791</v>
          </cell>
          <cell r="M710">
            <v>655</v>
          </cell>
          <cell r="N710">
            <v>457</v>
          </cell>
          <cell r="O710">
            <v>258</v>
          </cell>
          <cell r="P710">
            <v>1684</v>
          </cell>
          <cell r="Q710">
            <v>1487</v>
          </cell>
          <cell r="R710">
            <v>1225</v>
          </cell>
          <cell r="S710">
            <v>1063</v>
          </cell>
          <cell r="T710">
            <v>901</v>
          </cell>
          <cell r="U710">
            <v>642</v>
          </cell>
          <cell r="V710">
            <v>382</v>
          </cell>
          <cell r="W710">
            <v>1007</v>
          </cell>
          <cell r="X710">
            <v>884</v>
          </cell>
          <cell r="Y710">
            <v>726</v>
          </cell>
          <cell r="Z710">
            <v>629</v>
          </cell>
          <cell r="AA710">
            <v>531</v>
          </cell>
          <cell r="AB710">
            <v>378</v>
          </cell>
          <cell r="AC710">
            <v>225</v>
          </cell>
        </row>
        <row r="711">
          <cell r="A711" t="str">
            <v>5-8-29</v>
          </cell>
          <cell r="B711">
            <v>2137</v>
          </cell>
          <cell r="C711">
            <v>1854</v>
          </cell>
          <cell r="D711">
            <v>1497</v>
          </cell>
          <cell r="E711">
            <v>1279</v>
          </cell>
          <cell r="F711">
            <v>1061</v>
          </cell>
          <cell r="G711">
            <v>740</v>
          </cell>
          <cell r="H711">
            <v>419</v>
          </cell>
          <cell r="I711">
            <v>1295</v>
          </cell>
          <cell r="J711">
            <v>1117</v>
          </cell>
          <cell r="K711">
            <v>897</v>
          </cell>
          <cell r="L711">
            <v>765</v>
          </cell>
          <cell r="M711">
            <v>632</v>
          </cell>
          <cell r="N711">
            <v>440</v>
          </cell>
          <cell r="O711">
            <v>248</v>
          </cell>
          <cell r="P711">
            <v>1602</v>
          </cell>
          <cell r="Q711">
            <v>1419</v>
          </cell>
          <cell r="R711">
            <v>1172</v>
          </cell>
          <cell r="S711">
            <v>1017</v>
          </cell>
          <cell r="T711">
            <v>861</v>
          </cell>
          <cell r="U711">
            <v>613</v>
          </cell>
          <cell r="V711">
            <v>365</v>
          </cell>
          <cell r="W711">
            <v>971</v>
          </cell>
          <cell r="X711">
            <v>855</v>
          </cell>
          <cell r="Y711">
            <v>702</v>
          </cell>
          <cell r="Z711">
            <v>608</v>
          </cell>
          <cell r="AA711">
            <v>513</v>
          </cell>
          <cell r="AB711">
            <v>365</v>
          </cell>
          <cell r="AC711">
            <v>216</v>
          </cell>
        </row>
        <row r="712">
          <cell r="A712" t="str">
            <v>5-9-29</v>
          </cell>
          <cell r="B712">
            <v>2024</v>
          </cell>
          <cell r="C712">
            <v>1763</v>
          </cell>
          <cell r="D712">
            <v>1426</v>
          </cell>
          <cell r="E712">
            <v>1219</v>
          </cell>
          <cell r="F712">
            <v>1012</v>
          </cell>
          <cell r="G712">
            <v>705</v>
          </cell>
          <cell r="H712">
            <v>398</v>
          </cell>
          <cell r="I712">
            <v>1249</v>
          </cell>
          <cell r="J712">
            <v>1079</v>
          </cell>
          <cell r="K712">
            <v>866</v>
          </cell>
          <cell r="L712">
            <v>739</v>
          </cell>
          <cell r="M712">
            <v>611</v>
          </cell>
          <cell r="N712">
            <v>425</v>
          </cell>
          <cell r="O712">
            <v>238</v>
          </cell>
          <cell r="P712">
            <v>1518</v>
          </cell>
          <cell r="Q712">
            <v>1349</v>
          </cell>
          <cell r="R712">
            <v>1117</v>
          </cell>
          <cell r="S712">
            <v>970</v>
          </cell>
          <cell r="T712">
            <v>822</v>
          </cell>
          <cell r="U712">
            <v>584</v>
          </cell>
          <cell r="V712">
            <v>346</v>
          </cell>
          <cell r="W712">
            <v>937</v>
          </cell>
          <cell r="X712">
            <v>826</v>
          </cell>
          <cell r="Y712">
            <v>679</v>
          </cell>
          <cell r="Z712">
            <v>588</v>
          </cell>
          <cell r="AA712">
            <v>496</v>
          </cell>
          <cell r="AB712">
            <v>352</v>
          </cell>
          <cell r="AC712">
            <v>207</v>
          </cell>
        </row>
        <row r="713">
          <cell r="A713" t="str">
            <v>5-10-29</v>
          </cell>
          <cell r="B713">
            <v>1910</v>
          </cell>
          <cell r="C713">
            <v>1668</v>
          </cell>
          <cell r="D713">
            <v>1355</v>
          </cell>
          <cell r="E713">
            <v>1159</v>
          </cell>
          <cell r="F713">
            <v>962</v>
          </cell>
          <cell r="G713">
            <v>670</v>
          </cell>
          <cell r="H713">
            <v>377</v>
          </cell>
          <cell r="I713">
            <v>1203</v>
          </cell>
          <cell r="J713">
            <v>1040</v>
          </cell>
          <cell r="K713">
            <v>838</v>
          </cell>
          <cell r="L713">
            <v>714</v>
          </cell>
          <cell r="M713">
            <v>589</v>
          </cell>
          <cell r="N713">
            <v>409</v>
          </cell>
          <cell r="O713">
            <v>229</v>
          </cell>
          <cell r="P713">
            <v>1432</v>
          </cell>
          <cell r="Q713">
            <v>1276</v>
          </cell>
          <cell r="R713">
            <v>1060</v>
          </cell>
          <cell r="S713">
            <v>921</v>
          </cell>
          <cell r="T713">
            <v>781</v>
          </cell>
          <cell r="U713">
            <v>555</v>
          </cell>
          <cell r="V713">
            <v>328</v>
          </cell>
          <cell r="W713">
            <v>902</v>
          </cell>
          <cell r="X713">
            <v>796</v>
          </cell>
          <cell r="Y713">
            <v>655</v>
          </cell>
          <cell r="Z713">
            <v>567</v>
          </cell>
          <cell r="AA713">
            <v>479</v>
          </cell>
          <cell r="AB713">
            <v>339</v>
          </cell>
          <cell r="AC713">
            <v>199</v>
          </cell>
        </row>
        <row r="714">
          <cell r="A714" t="str">
            <v>5-11-29</v>
          </cell>
          <cell r="B714">
            <v>1792</v>
          </cell>
          <cell r="C714">
            <v>1569</v>
          </cell>
          <cell r="D714">
            <v>1278</v>
          </cell>
          <cell r="E714">
            <v>1094</v>
          </cell>
          <cell r="F714">
            <v>909</v>
          </cell>
          <cell r="G714">
            <v>633</v>
          </cell>
          <cell r="H714">
            <v>356</v>
          </cell>
          <cell r="I714">
            <v>1158</v>
          </cell>
          <cell r="J714">
            <v>1003</v>
          </cell>
          <cell r="K714">
            <v>807</v>
          </cell>
          <cell r="L714">
            <v>688</v>
          </cell>
          <cell r="M714">
            <v>568</v>
          </cell>
          <cell r="N714">
            <v>394</v>
          </cell>
          <cell r="O714">
            <v>220</v>
          </cell>
          <cell r="P714">
            <v>1343</v>
          </cell>
          <cell r="Q714">
            <v>1201</v>
          </cell>
          <cell r="R714">
            <v>1000</v>
          </cell>
          <cell r="S714">
            <v>869</v>
          </cell>
          <cell r="T714">
            <v>738</v>
          </cell>
          <cell r="U714">
            <v>524</v>
          </cell>
          <cell r="V714">
            <v>310</v>
          </cell>
          <cell r="W714">
            <v>868</v>
          </cell>
          <cell r="X714">
            <v>768</v>
          </cell>
          <cell r="Y714">
            <v>631</v>
          </cell>
          <cell r="Z714">
            <v>546</v>
          </cell>
          <cell r="AA714">
            <v>461</v>
          </cell>
          <cell r="AB714">
            <v>326</v>
          </cell>
          <cell r="AC714">
            <v>191</v>
          </cell>
        </row>
        <row r="715">
          <cell r="A715" t="str">
            <v>5-12-29</v>
          </cell>
          <cell r="B715">
            <v>1667</v>
          </cell>
          <cell r="C715">
            <v>1467</v>
          </cell>
          <cell r="D715">
            <v>1199</v>
          </cell>
          <cell r="E715">
            <v>1026</v>
          </cell>
          <cell r="F715">
            <v>853</v>
          </cell>
          <cell r="G715">
            <v>593</v>
          </cell>
          <cell r="H715">
            <v>333</v>
          </cell>
          <cell r="I715">
            <v>1112</v>
          </cell>
          <cell r="J715">
            <v>965</v>
          </cell>
          <cell r="K715">
            <v>778</v>
          </cell>
          <cell r="L715">
            <v>662</v>
          </cell>
          <cell r="M715">
            <v>546</v>
          </cell>
          <cell r="N715">
            <v>378</v>
          </cell>
          <cell r="O715">
            <v>210</v>
          </cell>
          <cell r="P715">
            <v>1250</v>
          </cell>
          <cell r="Q715">
            <v>1122</v>
          </cell>
          <cell r="R715">
            <v>938</v>
          </cell>
          <cell r="S715">
            <v>816</v>
          </cell>
          <cell r="T715">
            <v>693</v>
          </cell>
          <cell r="U715">
            <v>492</v>
          </cell>
          <cell r="V715">
            <v>290</v>
          </cell>
          <cell r="W715">
            <v>834</v>
          </cell>
          <cell r="X715">
            <v>738</v>
          </cell>
          <cell r="Y715">
            <v>609</v>
          </cell>
          <cell r="Z715">
            <v>526</v>
          </cell>
          <cell r="AA715">
            <v>443</v>
          </cell>
          <cell r="AB715">
            <v>313</v>
          </cell>
          <cell r="AC715">
            <v>183</v>
          </cell>
        </row>
        <row r="716">
          <cell r="A716" t="str">
            <v>5-13-29</v>
          </cell>
          <cell r="B716">
            <v>1534</v>
          </cell>
          <cell r="C716">
            <v>1354</v>
          </cell>
          <cell r="D716">
            <v>1111</v>
          </cell>
          <cell r="E716">
            <v>951</v>
          </cell>
          <cell r="F716">
            <v>791</v>
          </cell>
          <cell r="G716">
            <v>549</v>
          </cell>
          <cell r="H716">
            <v>307</v>
          </cell>
          <cell r="I716">
            <v>1063</v>
          </cell>
          <cell r="J716">
            <v>924</v>
          </cell>
          <cell r="K716">
            <v>746</v>
          </cell>
          <cell r="L716">
            <v>635</v>
          </cell>
          <cell r="M716">
            <v>523</v>
          </cell>
          <cell r="N716">
            <v>362</v>
          </cell>
          <cell r="O716">
            <v>200</v>
          </cell>
          <cell r="P716">
            <v>1150</v>
          </cell>
          <cell r="Q716">
            <v>1036</v>
          </cell>
          <cell r="R716">
            <v>870</v>
          </cell>
          <cell r="S716">
            <v>757</v>
          </cell>
          <cell r="T716">
            <v>643</v>
          </cell>
          <cell r="U716">
            <v>456</v>
          </cell>
          <cell r="V716">
            <v>268</v>
          </cell>
          <cell r="W716">
            <v>797</v>
          </cell>
          <cell r="X716">
            <v>707</v>
          </cell>
          <cell r="Y716">
            <v>584</v>
          </cell>
          <cell r="Z716">
            <v>505</v>
          </cell>
          <cell r="AA716">
            <v>425</v>
          </cell>
          <cell r="AB716">
            <v>300</v>
          </cell>
          <cell r="AC716">
            <v>174</v>
          </cell>
        </row>
        <row r="717">
          <cell r="A717" t="str">
            <v>6-8-29</v>
          </cell>
          <cell r="B717">
            <v>2136</v>
          </cell>
          <cell r="C717">
            <v>1851</v>
          </cell>
          <cell r="D717">
            <v>1492</v>
          </cell>
          <cell r="E717">
            <v>1274</v>
          </cell>
          <cell r="F717">
            <v>1056</v>
          </cell>
          <cell r="G717">
            <v>736</v>
          </cell>
          <cell r="H717">
            <v>415</v>
          </cell>
          <cell r="I717">
            <v>1296</v>
          </cell>
          <cell r="J717">
            <v>1116</v>
          </cell>
          <cell r="K717">
            <v>894</v>
          </cell>
          <cell r="L717">
            <v>762</v>
          </cell>
          <cell r="M717">
            <v>630</v>
          </cell>
          <cell r="N717">
            <v>438</v>
          </cell>
          <cell r="O717">
            <v>246</v>
          </cell>
          <cell r="P717">
            <v>1601</v>
          </cell>
          <cell r="Q717">
            <v>1416</v>
          </cell>
          <cell r="R717">
            <v>1168</v>
          </cell>
          <cell r="S717">
            <v>1013</v>
          </cell>
          <cell r="T717">
            <v>858</v>
          </cell>
          <cell r="U717">
            <v>610</v>
          </cell>
          <cell r="V717">
            <v>362</v>
          </cell>
          <cell r="W717">
            <v>972</v>
          </cell>
          <cell r="X717">
            <v>854</v>
          </cell>
          <cell r="Y717">
            <v>700</v>
          </cell>
          <cell r="Z717">
            <v>606</v>
          </cell>
          <cell r="AA717">
            <v>512</v>
          </cell>
          <cell r="AB717">
            <v>364</v>
          </cell>
          <cell r="AC717">
            <v>215</v>
          </cell>
        </row>
        <row r="718">
          <cell r="A718" t="str">
            <v>6-9-29</v>
          </cell>
          <cell r="B718">
            <v>2022</v>
          </cell>
          <cell r="C718">
            <v>1758</v>
          </cell>
          <cell r="D718">
            <v>1422</v>
          </cell>
          <cell r="E718">
            <v>1215</v>
          </cell>
          <cell r="F718">
            <v>1007</v>
          </cell>
          <cell r="G718">
            <v>701</v>
          </cell>
          <cell r="H718">
            <v>394</v>
          </cell>
          <cell r="I718">
            <v>1248</v>
          </cell>
          <cell r="J718">
            <v>1078</v>
          </cell>
          <cell r="K718">
            <v>864</v>
          </cell>
          <cell r="L718">
            <v>736</v>
          </cell>
          <cell r="M718">
            <v>608</v>
          </cell>
          <cell r="N718">
            <v>422</v>
          </cell>
          <cell r="O718">
            <v>236</v>
          </cell>
          <cell r="P718">
            <v>1516</v>
          </cell>
          <cell r="Q718">
            <v>1345</v>
          </cell>
          <cell r="R718">
            <v>1113</v>
          </cell>
          <cell r="S718">
            <v>966</v>
          </cell>
          <cell r="T718">
            <v>818</v>
          </cell>
          <cell r="U718">
            <v>581</v>
          </cell>
          <cell r="V718">
            <v>344</v>
          </cell>
          <cell r="W718">
            <v>936</v>
          </cell>
          <cell r="X718">
            <v>825</v>
          </cell>
          <cell r="Y718">
            <v>677</v>
          </cell>
          <cell r="Z718">
            <v>586</v>
          </cell>
          <cell r="AA718">
            <v>494</v>
          </cell>
          <cell r="AB718">
            <v>350</v>
          </cell>
          <cell r="AC718">
            <v>206</v>
          </cell>
        </row>
        <row r="719">
          <cell r="A719" t="str">
            <v>6-10-29</v>
          </cell>
          <cell r="B719">
            <v>1906</v>
          </cell>
          <cell r="C719">
            <v>1663</v>
          </cell>
          <cell r="D719">
            <v>1348</v>
          </cell>
          <cell r="E719">
            <v>1152</v>
          </cell>
          <cell r="F719">
            <v>955</v>
          </cell>
          <cell r="G719">
            <v>665</v>
          </cell>
          <cell r="H719">
            <v>374</v>
          </cell>
          <cell r="I719">
            <v>1202</v>
          </cell>
          <cell r="J719">
            <v>1040</v>
          </cell>
          <cell r="K719">
            <v>835</v>
          </cell>
          <cell r="L719">
            <v>711</v>
          </cell>
          <cell r="M719">
            <v>587</v>
          </cell>
          <cell r="N719">
            <v>407</v>
          </cell>
          <cell r="O719">
            <v>227</v>
          </cell>
          <cell r="P719">
            <v>1429</v>
          </cell>
          <cell r="Q719">
            <v>1272</v>
          </cell>
          <cell r="R719">
            <v>1055</v>
          </cell>
          <cell r="S719">
            <v>916</v>
          </cell>
          <cell r="T719">
            <v>776</v>
          </cell>
          <cell r="U719">
            <v>551</v>
          </cell>
          <cell r="V719">
            <v>325</v>
          </cell>
          <cell r="W719">
            <v>901</v>
          </cell>
          <cell r="X719">
            <v>795</v>
          </cell>
          <cell r="Y719">
            <v>653</v>
          </cell>
          <cell r="Z719">
            <v>565</v>
          </cell>
          <cell r="AA719">
            <v>477</v>
          </cell>
          <cell r="AB719">
            <v>338</v>
          </cell>
          <cell r="AC719">
            <v>198</v>
          </cell>
        </row>
        <row r="720">
          <cell r="A720" t="str">
            <v>6-11-29</v>
          </cell>
          <cell r="B720">
            <v>1786</v>
          </cell>
          <cell r="C720">
            <v>1563</v>
          </cell>
          <cell r="D720">
            <v>1272</v>
          </cell>
          <cell r="E720">
            <v>1088</v>
          </cell>
          <cell r="F720">
            <v>903</v>
          </cell>
          <cell r="G720">
            <v>628</v>
          </cell>
          <cell r="H720">
            <v>353</v>
          </cell>
          <cell r="I720">
            <v>1156</v>
          </cell>
          <cell r="J720">
            <v>1001</v>
          </cell>
          <cell r="K720">
            <v>806</v>
          </cell>
          <cell r="L720">
            <v>686</v>
          </cell>
          <cell r="M720">
            <v>566</v>
          </cell>
          <cell r="N720">
            <v>392</v>
          </cell>
          <cell r="O720">
            <v>218</v>
          </cell>
          <cell r="P720">
            <v>1339</v>
          </cell>
          <cell r="Q720">
            <v>1196</v>
          </cell>
          <cell r="R720">
            <v>995</v>
          </cell>
          <cell r="S720">
            <v>864</v>
          </cell>
          <cell r="T720">
            <v>733</v>
          </cell>
          <cell r="U720">
            <v>520</v>
          </cell>
          <cell r="V720">
            <v>307</v>
          </cell>
          <cell r="W720">
            <v>867</v>
          </cell>
          <cell r="X720">
            <v>766</v>
          </cell>
          <cell r="Y720">
            <v>630</v>
          </cell>
          <cell r="Z720">
            <v>545</v>
          </cell>
          <cell r="AA720">
            <v>459</v>
          </cell>
          <cell r="AB720">
            <v>325</v>
          </cell>
          <cell r="AC720">
            <v>190</v>
          </cell>
        </row>
        <row r="721">
          <cell r="A721" t="str">
            <v>6-12-29</v>
          </cell>
          <cell r="B721">
            <v>1662</v>
          </cell>
          <cell r="C721">
            <v>1460</v>
          </cell>
          <cell r="D721">
            <v>1193</v>
          </cell>
          <cell r="E721">
            <v>1020</v>
          </cell>
          <cell r="F721">
            <v>847</v>
          </cell>
          <cell r="G721">
            <v>589</v>
          </cell>
          <cell r="H721">
            <v>330</v>
          </cell>
          <cell r="I721">
            <v>1110</v>
          </cell>
          <cell r="J721">
            <v>963</v>
          </cell>
          <cell r="K721">
            <v>775</v>
          </cell>
          <cell r="L721">
            <v>659</v>
          </cell>
          <cell r="M721">
            <v>543</v>
          </cell>
          <cell r="N721">
            <v>376</v>
          </cell>
          <cell r="O721">
            <v>209</v>
          </cell>
          <cell r="P721">
            <v>1246</v>
          </cell>
          <cell r="Q721">
            <v>1117</v>
          </cell>
          <cell r="R721">
            <v>934</v>
          </cell>
          <cell r="S721">
            <v>811</v>
          </cell>
          <cell r="T721">
            <v>688</v>
          </cell>
          <cell r="U721">
            <v>488</v>
          </cell>
          <cell r="V721">
            <v>288</v>
          </cell>
          <cell r="W721">
            <v>832</v>
          </cell>
          <cell r="X721">
            <v>737</v>
          </cell>
          <cell r="Y721">
            <v>607</v>
          </cell>
          <cell r="Z721">
            <v>524</v>
          </cell>
          <cell r="AA721">
            <v>441</v>
          </cell>
          <cell r="AB721">
            <v>312</v>
          </cell>
          <cell r="AC721">
            <v>182</v>
          </cell>
        </row>
        <row r="722">
          <cell r="A722" t="str">
            <v>6-13-29</v>
          </cell>
          <cell r="B722">
            <v>1531</v>
          </cell>
          <cell r="C722">
            <v>1351</v>
          </cell>
          <cell r="D722">
            <v>1107</v>
          </cell>
          <cell r="E722">
            <v>948</v>
          </cell>
          <cell r="F722">
            <v>789</v>
          </cell>
          <cell r="G722">
            <v>548</v>
          </cell>
          <cell r="H722">
            <v>306</v>
          </cell>
          <cell r="I722">
            <v>1063</v>
          </cell>
          <cell r="J722">
            <v>923</v>
          </cell>
          <cell r="K722">
            <v>743</v>
          </cell>
          <cell r="L722">
            <v>633</v>
          </cell>
          <cell r="M722">
            <v>522</v>
          </cell>
          <cell r="N722">
            <v>361</v>
          </cell>
          <cell r="O722">
            <v>199</v>
          </cell>
          <cell r="P722">
            <v>1147</v>
          </cell>
          <cell r="Q722">
            <v>1033</v>
          </cell>
          <cell r="R722">
            <v>867</v>
          </cell>
          <cell r="S722">
            <v>754</v>
          </cell>
          <cell r="T722">
            <v>641</v>
          </cell>
          <cell r="U722">
            <v>454</v>
          </cell>
          <cell r="V722">
            <v>267</v>
          </cell>
          <cell r="W722">
            <v>797</v>
          </cell>
          <cell r="X722">
            <v>706</v>
          </cell>
          <cell r="Y722">
            <v>582</v>
          </cell>
          <cell r="Z722">
            <v>503</v>
          </cell>
          <cell r="AA722">
            <v>424</v>
          </cell>
          <cell r="AB722">
            <v>299</v>
          </cell>
          <cell r="AC722">
            <v>173</v>
          </cell>
        </row>
        <row r="723">
          <cell r="A723" t="str">
            <v>6-14-29</v>
          </cell>
          <cell r="B723">
            <v>1389</v>
          </cell>
          <cell r="C723">
            <v>1230</v>
          </cell>
          <cell r="D723">
            <v>1013</v>
          </cell>
          <cell r="E723">
            <v>868</v>
          </cell>
          <cell r="F723">
            <v>722</v>
          </cell>
          <cell r="G723">
            <v>501</v>
          </cell>
          <cell r="H723">
            <v>279</v>
          </cell>
          <cell r="I723">
            <v>1014</v>
          </cell>
          <cell r="J723">
            <v>882</v>
          </cell>
          <cell r="K723">
            <v>712</v>
          </cell>
          <cell r="L723">
            <v>605</v>
          </cell>
          <cell r="M723">
            <v>498</v>
          </cell>
          <cell r="N723">
            <v>344</v>
          </cell>
          <cell r="O723">
            <v>189</v>
          </cell>
          <cell r="P723">
            <v>1041</v>
          </cell>
          <cell r="Q723">
            <v>941</v>
          </cell>
          <cell r="R723">
            <v>793</v>
          </cell>
          <cell r="S723">
            <v>690</v>
          </cell>
          <cell r="T723">
            <v>587</v>
          </cell>
          <cell r="U723">
            <v>415</v>
          </cell>
          <cell r="V723">
            <v>243</v>
          </cell>
          <cell r="W723">
            <v>760</v>
          </cell>
          <cell r="X723">
            <v>675</v>
          </cell>
          <cell r="Y723">
            <v>558</v>
          </cell>
          <cell r="Z723">
            <v>482</v>
          </cell>
          <cell r="AA723">
            <v>405</v>
          </cell>
          <cell r="AB723">
            <v>285</v>
          </cell>
          <cell r="AC723">
            <v>165</v>
          </cell>
        </row>
        <row r="724">
          <cell r="A724" t="str">
            <v>7-9-29</v>
          </cell>
          <cell r="B724">
            <v>2020</v>
          </cell>
          <cell r="C724">
            <v>1754</v>
          </cell>
          <cell r="D724">
            <v>1417</v>
          </cell>
          <cell r="E724">
            <v>1209</v>
          </cell>
          <cell r="F724">
            <v>1000</v>
          </cell>
          <cell r="G724">
            <v>695</v>
          </cell>
          <cell r="H724">
            <v>390</v>
          </cell>
          <cell r="I724">
            <v>1247</v>
          </cell>
          <cell r="J724">
            <v>1076</v>
          </cell>
          <cell r="K724">
            <v>862</v>
          </cell>
          <cell r="L724">
            <v>734</v>
          </cell>
          <cell r="M724">
            <v>605</v>
          </cell>
          <cell r="N724">
            <v>420</v>
          </cell>
          <cell r="O724">
            <v>234</v>
          </cell>
          <cell r="P724">
            <v>1515</v>
          </cell>
          <cell r="Q724">
            <v>1342</v>
          </cell>
          <cell r="R724">
            <v>1109</v>
          </cell>
          <cell r="S724">
            <v>961</v>
          </cell>
          <cell r="T724">
            <v>813</v>
          </cell>
          <cell r="U724">
            <v>577</v>
          </cell>
          <cell r="V724">
            <v>340</v>
          </cell>
          <cell r="W724">
            <v>936</v>
          </cell>
          <cell r="X724">
            <v>823</v>
          </cell>
          <cell r="Y724">
            <v>675</v>
          </cell>
          <cell r="Z724">
            <v>584</v>
          </cell>
          <cell r="AA724">
            <v>492</v>
          </cell>
          <cell r="AB724">
            <v>348</v>
          </cell>
          <cell r="AC724">
            <v>204</v>
          </cell>
        </row>
        <row r="725">
          <cell r="A725" t="str">
            <v>7-10-29</v>
          </cell>
          <cell r="B725">
            <v>1903</v>
          </cell>
          <cell r="C725">
            <v>1657</v>
          </cell>
          <cell r="D725">
            <v>1342</v>
          </cell>
          <cell r="E725">
            <v>1146</v>
          </cell>
          <cell r="F725">
            <v>949</v>
          </cell>
          <cell r="G725">
            <v>660</v>
          </cell>
          <cell r="H725">
            <v>370</v>
          </cell>
          <cell r="I725">
            <v>1200</v>
          </cell>
          <cell r="J725">
            <v>1037</v>
          </cell>
          <cell r="K725">
            <v>832</v>
          </cell>
          <cell r="L725">
            <v>708</v>
          </cell>
          <cell r="M725">
            <v>584</v>
          </cell>
          <cell r="N725">
            <v>405</v>
          </cell>
          <cell r="O725">
            <v>225</v>
          </cell>
          <cell r="P725">
            <v>1427</v>
          </cell>
          <cell r="Q725">
            <v>1268</v>
          </cell>
          <cell r="R725">
            <v>1051</v>
          </cell>
          <cell r="S725">
            <v>911</v>
          </cell>
          <cell r="T725">
            <v>771</v>
          </cell>
          <cell r="U725">
            <v>547</v>
          </cell>
          <cell r="V725">
            <v>323</v>
          </cell>
          <cell r="W725">
            <v>900</v>
          </cell>
          <cell r="X725">
            <v>794</v>
          </cell>
          <cell r="Y725">
            <v>652</v>
          </cell>
          <cell r="Z725">
            <v>564</v>
          </cell>
          <cell r="AA725">
            <v>475</v>
          </cell>
          <cell r="AB725">
            <v>336</v>
          </cell>
          <cell r="AC725">
            <v>197</v>
          </cell>
        </row>
        <row r="726">
          <cell r="A726" t="str">
            <v>7-11-29</v>
          </cell>
          <cell r="B726">
            <v>1781</v>
          </cell>
          <cell r="C726">
            <v>1558</v>
          </cell>
          <cell r="D726">
            <v>1266</v>
          </cell>
          <cell r="E726">
            <v>1081</v>
          </cell>
          <cell r="F726">
            <v>896</v>
          </cell>
          <cell r="G726">
            <v>623</v>
          </cell>
          <cell r="H726">
            <v>349</v>
          </cell>
          <cell r="I726">
            <v>1154</v>
          </cell>
          <cell r="J726">
            <v>998</v>
          </cell>
          <cell r="K726">
            <v>803</v>
          </cell>
          <cell r="L726">
            <v>683</v>
          </cell>
          <cell r="M726">
            <v>563</v>
          </cell>
          <cell r="N726">
            <v>390</v>
          </cell>
          <cell r="O726">
            <v>217</v>
          </cell>
          <cell r="P726">
            <v>1335</v>
          </cell>
          <cell r="Q726">
            <v>1192</v>
          </cell>
          <cell r="R726">
            <v>991</v>
          </cell>
          <cell r="S726">
            <v>860</v>
          </cell>
          <cell r="T726">
            <v>728</v>
          </cell>
          <cell r="U726">
            <v>516</v>
          </cell>
          <cell r="V726">
            <v>304</v>
          </cell>
          <cell r="W726">
            <v>865</v>
          </cell>
          <cell r="X726">
            <v>764</v>
          </cell>
          <cell r="Y726">
            <v>629</v>
          </cell>
          <cell r="Z726">
            <v>543</v>
          </cell>
          <cell r="AA726">
            <v>457</v>
          </cell>
          <cell r="AB726">
            <v>323</v>
          </cell>
          <cell r="AC726">
            <v>189</v>
          </cell>
        </row>
        <row r="727">
          <cell r="A727" t="str">
            <v>7-12-29</v>
          </cell>
          <cell r="B727">
            <v>1656</v>
          </cell>
          <cell r="C727">
            <v>1454</v>
          </cell>
          <cell r="D727">
            <v>1185</v>
          </cell>
          <cell r="E727">
            <v>1013</v>
          </cell>
          <cell r="F727">
            <v>841</v>
          </cell>
          <cell r="G727">
            <v>584</v>
          </cell>
          <cell r="H727">
            <v>327</v>
          </cell>
          <cell r="I727">
            <v>1108</v>
          </cell>
          <cell r="J727">
            <v>961</v>
          </cell>
          <cell r="K727">
            <v>773</v>
          </cell>
          <cell r="L727">
            <v>657</v>
          </cell>
          <cell r="M727">
            <v>541</v>
          </cell>
          <cell r="N727">
            <v>374</v>
          </cell>
          <cell r="O727">
            <v>207</v>
          </cell>
          <cell r="P727">
            <v>1241</v>
          </cell>
          <cell r="Q727">
            <v>1113</v>
          </cell>
          <cell r="R727">
            <v>928</v>
          </cell>
          <cell r="S727">
            <v>806</v>
          </cell>
          <cell r="T727">
            <v>683</v>
          </cell>
          <cell r="U727">
            <v>484</v>
          </cell>
          <cell r="V727">
            <v>285</v>
          </cell>
          <cell r="W727">
            <v>830</v>
          </cell>
          <cell r="X727">
            <v>735</v>
          </cell>
          <cell r="Y727">
            <v>605</v>
          </cell>
          <cell r="Z727">
            <v>523</v>
          </cell>
          <cell r="AA727">
            <v>440</v>
          </cell>
          <cell r="AB727">
            <v>311</v>
          </cell>
          <cell r="AC727">
            <v>181</v>
          </cell>
        </row>
        <row r="728">
          <cell r="A728" t="str">
            <v>7-13-29</v>
          </cell>
          <cell r="B728">
            <v>1525</v>
          </cell>
          <cell r="C728">
            <v>1345</v>
          </cell>
          <cell r="D728">
            <v>1101</v>
          </cell>
          <cell r="E728">
            <v>943</v>
          </cell>
          <cell r="F728">
            <v>784</v>
          </cell>
          <cell r="G728">
            <v>544</v>
          </cell>
          <cell r="H728">
            <v>304</v>
          </cell>
          <cell r="I728">
            <v>1061</v>
          </cell>
          <cell r="J728">
            <v>922</v>
          </cell>
          <cell r="K728">
            <v>742</v>
          </cell>
          <cell r="L728">
            <v>632</v>
          </cell>
          <cell r="M728">
            <v>521</v>
          </cell>
          <cell r="N728">
            <v>360</v>
          </cell>
          <cell r="O728">
            <v>198</v>
          </cell>
          <cell r="P728">
            <v>1143</v>
          </cell>
          <cell r="Q728">
            <v>1029</v>
          </cell>
          <cell r="R728">
            <v>862</v>
          </cell>
          <cell r="S728">
            <v>750</v>
          </cell>
          <cell r="T728">
            <v>637</v>
          </cell>
          <cell r="U728">
            <v>451</v>
          </cell>
          <cell r="V728">
            <v>265</v>
          </cell>
          <cell r="W728">
            <v>795</v>
          </cell>
          <cell r="X728">
            <v>705</v>
          </cell>
          <cell r="Y728">
            <v>581</v>
          </cell>
          <cell r="Z728">
            <v>502</v>
          </cell>
          <cell r="AA728">
            <v>423</v>
          </cell>
          <cell r="AB728">
            <v>298</v>
          </cell>
          <cell r="AC728">
            <v>173</v>
          </cell>
        </row>
        <row r="729">
          <cell r="A729" t="str">
            <v>7-14-29</v>
          </cell>
          <cell r="B729">
            <v>1384</v>
          </cell>
          <cell r="C729">
            <v>1226</v>
          </cell>
          <cell r="D729">
            <v>1009</v>
          </cell>
          <cell r="E729">
            <v>864</v>
          </cell>
          <cell r="F729">
            <v>718</v>
          </cell>
          <cell r="G729">
            <v>498</v>
          </cell>
          <cell r="H729">
            <v>277</v>
          </cell>
          <cell r="I729">
            <v>1012</v>
          </cell>
          <cell r="J729">
            <v>881</v>
          </cell>
          <cell r="K729">
            <v>711</v>
          </cell>
          <cell r="L729">
            <v>604</v>
          </cell>
          <cell r="M729">
            <v>496</v>
          </cell>
          <cell r="N729">
            <v>342</v>
          </cell>
          <cell r="O729">
            <v>188</v>
          </cell>
          <cell r="P729">
            <v>1038</v>
          </cell>
          <cell r="Q729">
            <v>938</v>
          </cell>
          <cell r="R729">
            <v>790</v>
          </cell>
          <cell r="S729">
            <v>687</v>
          </cell>
          <cell r="T729">
            <v>584</v>
          </cell>
          <cell r="U729">
            <v>413</v>
          </cell>
          <cell r="V729">
            <v>241</v>
          </cell>
          <cell r="W729">
            <v>759</v>
          </cell>
          <cell r="X729">
            <v>674</v>
          </cell>
          <cell r="Y729">
            <v>557</v>
          </cell>
          <cell r="Z729">
            <v>481</v>
          </cell>
          <cell r="AA729">
            <v>404</v>
          </cell>
          <cell r="AB729">
            <v>284</v>
          </cell>
          <cell r="AC729">
            <v>164</v>
          </cell>
        </row>
        <row r="730">
          <cell r="A730" t="str">
            <v>7-15-29</v>
          </cell>
          <cell r="B730">
            <v>1235</v>
          </cell>
          <cell r="C730">
            <v>1098</v>
          </cell>
          <cell r="D730">
            <v>907</v>
          </cell>
          <cell r="E730">
            <v>778</v>
          </cell>
          <cell r="F730">
            <v>648</v>
          </cell>
          <cell r="G730">
            <v>449</v>
          </cell>
          <cell r="H730">
            <v>249</v>
          </cell>
          <cell r="I730">
            <v>961</v>
          </cell>
          <cell r="J730">
            <v>838</v>
          </cell>
          <cell r="K730">
            <v>678</v>
          </cell>
          <cell r="L730">
            <v>576</v>
          </cell>
          <cell r="M730">
            <v>473</v>
          </cell>
          <cell r="N730">
            <v>326</v>
          </cell>
          <cell r="O730">
            <v>179</v>
          </cell>
          <cell r="P730">
            <v>926</v>
          </cell>
          <cell r="Q730">
            <v>840</v>
          </cell>
          <cell r="R730">
            <v>710</v>
          </cell>
          <cell r="S730">
            <v>619</v>
          </cell>
          <cell r="T730">
            <v>527</v>
          </cell>
          <cell r="U730">
            <v>372</v>
          </cell>
          <cell r="V730">
            <v>217</v>
          </cell>
          <cell r="W730">
            <v>721</v>
          </cell>
          <cell r="X730">
            <v>641</v>
          </cell>
          <cell r="Y730">
            <v>531</v>
          </cell>
          <cell r="Z730">
            <v>458</v>
          </cell>
          <cell r="AA730">
            <v>384</v>
          </cell>
          <cell r="AB730">
            <v>270</v>
          </cell>
          <cell r="AC730">
            <v>156</v>
          </cell>
        </row>
        <row r="731">
          <cell r="A731" t="str">
            <v>8-10-29</v>
          </cell>
          <cell r="B731">
            <v>1900</v>
          </cell>
          <cell r="C731">
            <v>1652</v>
          </cell>
          <cell r="D731">
            <v>1336</v>
          </cell>
          <cell r="E731">
            <v>1140</v>
          </cell>
          <cell r="F731">
            <v>943</v>
          </cell>
          <cell r="G731">
            <v>655</v>
          </cell>
          <cell r="H731">
            <v>366</v>
          </cell>
          <cell r="I731">
            <v>1200</v>
          </cell>
          <cell r="J731">
            <v>1036</v>
          </cell>
          <cell r="K731">
            <v>830</v>
          </cell>
          <cell r="L731">
            <v>706</v>
          </cell>
          <cell r="M731">
            <v>581</v>
          </cell>
          <cell r="N731">
            <v>403</v>
          </cell>
          <cell r="O731">
            <v>224</v>
          </cell>
          <cell r="P731">
            <v>1424</v>
          </cell>
          <cell r="Q731">
            <v>1264</v>
          </cell>
          <cell r="R731">
            <v>1046</v>
          </cell>
          <cell r="S731">
            <v>906</v>
          </cell>
          <cell r="T731">
            <v>766</v>
          </cell>
          <cell r="U731">
            <v>543</v>
          </cell>
          <cell r="V731">
            <v>319</v>
          </cell>
          <cell r="W731">
            <v>900</v>
          </cell>
          <cell r="X731">
            <v>792</v>
          </cell>
          <cell r="Y731">
            <v>650</v>
          </cell>
          <cell r="Z731">
            <v>561</v>
          </cell>
          <cell r="AA731">
            <v>472</v>
          </cell>
          <cell r="AB731">
            <v>334</v>
          </cell>
          <cell r="AC731">
            <v>195</v>
          </cell>
        </row>
        <row r="732">
          <cell r="A732" t="str">
            <v>8-11-29</v>
          </cell>
          <cell r="B732">
            <v>1777</v>
          </cell>
          <cell r="C732">
            <v>1551</v>
          </cell>
          <cell r="D732">
            <v>1259</v>
          </cell>
          <cell r="E732">
            <v>1075</v>
          </cell>
          <cell r="F732">
            <v>890</v>
          </cell>
          <cell r="G732">
            <v>618</v>
          </cell>
          <cell r="H732">
            <v>345</v>
          </cell>
          <cell r="I732">
            <v>1153</v>
          </cell>
          <cell r="J732">
            <v>996</v>
          </cell>
          <cell r="K732">
            <v>800</v>
          </cell>
          <cell r="L732">
            <v>680</v>
          </cell>
          <cell r="M732">
            <v>560</v>
          </cell>
          <cell r="N732">
            <v>387</v>
          </cell>
          <cell r="O732">
            <v>214</v>
          </cell>
          <cell r="P732">
            <v>1332</v>
          </cell>
          <cell r="Q732">
            <v>1187</v>
          </cell>
          <cell r="R732">
            <v>985</v>
          </cell>
          <cell r="S732">
            <v>854</v>
          </cell>
          <cell r="T732">
            <v>723</v>
          </cell>
          <cell r="U732">
            <v>512</v>
          </cell>
          <cell r="V732">
            <v>301</v>
          </cell>
          <cell r="W732">
            <v>864</v>
          </cell>
          <cell r="X732">
            <v>762</v>
          </cell>
          <cell r="Y732">
            <v>626</v>
          </cell>
          <cell r="Z732">
            <v>541</v>
          </cell>
          <cell r="AA732">
            <v>455</v>
          </cell>
          <cell r="AB732">
            <v>321</v>
          </cell>
          <cell r="AC732">
            <v>187</v>
          </cell>
        </row>
        <row r="733">
          <cell r="A733" t="str">
            <v>8-12-29</v>
          </cell>
          <cell r="B733">
            <v>1649</v>
          </cell>
          <cell r="C733">
            <v>1446</v>
          </cell>
          <cell r="D733">
            <v>1178</v>
          </cell>
          <cell r="E733">
            <v>1007</v>
          </cell>
          <cell r="F733">
            <v>835</v>
          </cell>
          <cell r="G733">
            <v>580</v>
          </cell>
          <cell r="H733">
            <v>324</v>
          </cell>
          <cell r="I733">
            <v>1105</v>
          </cell>
          <cell r="J733">
            <v>957</v>
          </cell>
          <cell r="K733">
            <v>770</v>
          </cell>
          <cell r="L733">
            <v>655</v>
          </cell>
          <cell r="M733">
            <v>539</v>
          </cell>
          <cell r="N733">
            <v>373</v>
          </cell>
          <cell r="O733">
            <v>207</v>
          </cell>
          <cell r="P733">
            <v>1236</v>
          </cell>
          <cell r="Q733">
            <v>1106</v>
          </cell>
          <cell r="R733">
            <v>922</v>
          </cell>
          <cell r="S733">
            <v>800</v>
          </cell>
          <cell r="T733">
            <v>678</v>
          </cell>
          <cell r="U733">
            <v>480</v>
          </cell>
          <cell r="V733">
            <v>282</v>
          </cell>
          <cell r="W733">
            <v>829</v>
          </cell>
          <cell r="X733">
            <v>732</v>
          </cell>
          <cell r="Y733">
            <v>603</v>
          </cell>
          <cell r="Z733">
            <v>521</v>
          </cell>
          <cell r="AA733">
            <v>438</v>
          </cell>
          <cell r="AB733">
            <v>309</v>
          </cell>
          <cell r="AC733">
            <v>180</v>
          </cell>
        </row>
        <row r="734">
          <cell r="A734" t="str">
            <v>8-13-29</v>
          </cell>
          <cell r="B734">
            <v>1518</v>
          </cell>
          <cell r="C734">
            <v>1338</v>
          </cell>
          <cell r="D734">
            <v>1094</v>
          </cell>
          <cell r="E734">
            <v>936</v>
          </cell>
          <cell r="F734">
            <v>777</v>
          </cell>
          <cell r="G734">
            <v>539</v>
          </cell>
          <cell r="H734">
            <v>300</v>
          </cell>
          <cell r="I734">
            <v>1059</v>
          </cell>
          <cell r="J734">
            <v>919</v>
          </cell>
          <cell r="K734">
            <v>740</v>
          </cell>
          <cell r="L734">
            <v>629</v>
          </cell>
          <cell r="M734">
            <v>518</v>
          </cell>
          <cell r="N734">
            <v>357</v>
          </cell>
          <cell r="O734">
            <v>196</v>
          </cell>
          <cell r="P734">
            <v>1138</v>
          </cell>
          <cell r="Q734">
            <v>1024</v>
          </cell>
          <cell r="R734">
            <v>856</v>
          </cell>
          <cell r="S734">
            <v>744</v>
          </cell>
          <cell r="T734">
            <v>631</v>
          </cell>
          <cell r="U734">
            <v>447</v>
          </cell>
          <cell r="V734">
            <v>262</v>
          </cell>
          <cell r="W734">
            <v>794</v>
          </cell>
          <cell r="X734">
            <v>703</v>
          </cell>
          <cell r="Y734">
            <v>579</v>
          </cell>
          <cell r="Z734">
            <v>500</v>
          </cell>
          <cell r="AA734">
            <v>420</v>
          </cell>
          <cell r="AB734">
            <v>296</v>
          </cell>
          <cell r="AC734">
            <v>171</v>
          </cell>
        </row>
        <row r="735">
          <cell r="A735" t="str">
            <v>8-14-29</v>
          </cell>
          <cell r="B735">
            <v>1380</v>
          </cell>
          <cell r="C735">
            <v>1222</v>
          </cell>
          <cell r="D735">
            <v>1004</v>
          </cell>
          <cell r="E735">
            <v>860</v>
          </cell>
          <cell r="F735">
            <v>715</v>
          </cell>
          <cell r="G735">
            <v>495</v>
          </cell>
          <cell r="H735">
            <v>275</v>
          </cell>
          <cell r="I735">
            <v>1011</v>
          </cell>
          <cell r="J735">
            <v>879</v>
          </cell>
          <cell r="K735">
            <v>709</v>
          </cell>
          <cell r="L735">
            <v>602</v>
          </cell>
          <cell r="M735">
            <v>495</v>
          </cell>
          <cell r="N735">
            <v>341</v>
          </cell>
          <cell r="O735">
            <v>187</v>
          </cell>
          <cell r="P735">
            <v>1035</v>
          </cell>
          <cell r="Q735">
            <v>935</v>
          </cell>
          <cell r="R735">
            <v>786</v>
          </cell>
          <cell r="S735">
            <v>684</v>
          </cell>
          <cell r="T735">
            <v>581</v>
          </cell>
          <cell r="U735">
            <v>411</v>
          </cell>
          <cell r="V735">
            <v>240</v>
          </cell>
          <cell r="W735">
            <v>758</v>
          </cell>
          <cell r="X735">
            <v>672</v>
          </cell>
          <cell r="Y735">
            <v>555</v>
          </cell>
          <cell r="Z735">
            <v>479</v>
          </cell>
          <cell r="AA735">
            <v>403</v>
          </cell>
          <cell r="AB735">
            <v>283</v>
          </cell>
          <cell r="AC735">
            <v>163</v>
          </cell>
        </row>
        <row r="736">
          <cell r="A736" t="str">
            <v>8-15-29</v>
          </cell>
          <cell r="B736">
            <v>1231</v>
          </cell>
          <cell r="C736">
            <v>1094</v>
          </cell>
          <cell r="D736">
            <v>903</v>
          </cell>
          <cell r="E736">
            <v>774</v>
          </cell>
          <cell r="F736">
            <v>644</v>
          </cell>
          <cell r="G736">
            <v>447</v>
          </cell>
          <cell r="H736">
            <v>249</v>
          </cell>
          <cell r="I736">
            <v>962</v>
          </cell>
          <cell r="J736">
            <v>836</v>
          </cell>
          <cell r="K736">
            <v>677</v>
          </cell>
          <cell r="L736">
            <v>575</v>
          </cell>
          <cell r="M736">
            <v>472</v>
          </cell>
          <cell r="N736">
            <v>326</v>
          </cell>
          <cell r="O736">
            <v>179</v>
          </cell>
          <cell r="P736">
            <v>923</v>
          </cell>
          <cell r="Q736">
            <v>837</v>
          </cell>
          <cell r="R736">
            <v>707</v>
          </cell>
          <cell r="S736">
            <v>616</v>
          </cell>
          <cell r="T736">
            <v>524</v>
          </cell>
          <cell r="U736">
            <v>371</v>
          </cell>
          <cell r="V736">
            <v>217</v>
          </cell>
          <cell r="W736">
            <v>721</v>
          </cell>
          <cell r="X736">
            <v>640</v>
          </cell>
          <cell r="Y736">
            <v>530</v>
          </cell>
          <cell r="Z736">
            <v>457</v>
          </cell>
          <cell r="AA736">
            <v>384</v>
          </cell>
          <cell r="AB736">
            <v>270</v>
          </cell>
          <cell r="AC736">
            <v>156</v>
          </cell>
        </row>
        <row r="737">
          <cell r="A737" t="str">
            <v>8-16-29</v>
          </cell>
          <cell r="B737">
            <v>1080</v>
          </cell>
          <cell r="C737">
            <v>957</v>
          </cell>
          <cell r="D737">
            <v>793</v>
          </cell>
          <cell r="E737">
            <v>681</v>
          </cell>
          <cell r="F737">
            <v>569</v>
          </cell>
          <cell r="G737">
            <v>393</v>
          </cell>
          <cell r="H737">
            <v>216</v>
          </cell>
          <cell r="I737">
            <v>917</v>
          </cell>
          <cell r="J737">
            <v>793</v>
          </cell>
          <cell r="K737">
            <v>642</v>
          </cell>
          <cell r="L737">
            <v>545</v>
          </cell>
          <cell r="M737">
            <v>447</v>
          </cell>
          <cell r="N737">
            <v>308</v>
          </cell>
          <cell r="O737">
            <v>168</v>
          </cell>
          <cell r="P737">
            <v>810</v>
          </cell>
          <cell r="Q737">
            <v>732</v>
          </cell>
          <cell r="R737">
            <v>621</v>
          </cell>
          <cell r="S737">
            <v>542</v>
          </cell>
          <cell r="T737">
            <v>462</v>
          </cell>
          <cell r="U737">
            <v>325</v>
          </cell>
          <cell r="V737">
            <v>188</v>
          </cell>
          <cell r="W737">
            <v>688</v>
          </cell>
          <cell r="X737">
            <v>607</v>
          </cell>
          <cell r="Y737">
            <v>503</v>
          </cell>
          <cell r="Z737">
            <v>433</v>
          </cell>
          <cell r="AA737">
            <v>363</v>
          </cell>
          <cell r="AB737">
            <v>255</v>
          </cell>
          <cell r="AC737">
            <v>146</v>
          </cell>
        </row>
        <row r="738">
          <cell r="A738" t="str">
            <v>9-11-29</v>
          </cell>
          <cell r="B738">
            <v>1772</v>
          </cell>
          <cell r="C738">
            <v>1545</v>
          </cell>
          <cell r="D738">
            <v>1252</v>
          </cell>
          <cell r="E738">
            <v>1068</v>
          </cell>
          <cell r="F738">
            <v>883</v>
          </cell>
          <cell r="G738">
            <v>612</v>
          </cell>
          <cell r="H738">
            <v>341</v>
          </cell>
          <cell r="I738">
            <v>1151</v>
          </cell>
          <cell r="J738">
            <v>994</v>
          </cell>
          <cell r="K738">
            <v>797</v>
          </cell>
          <cell r="L738">
            <v>678</v>
          </cell>
          <cell r="M738">
            <v>558</v>
          </cell>
          <cell r="N738">
            <v>386</v>
          </cell>
          <cell r="O738">
            <v>213</v>
          </cell>
          <cell r="P738">
            <v>1328</v>
          </cell>
          <cell r="Q738">
            <v>1182</v>
          </cell>
          <cell r="R738">
            <v>980</v>
          </cell>
          <cell r="S738">
            <v>849</v>
          </cell>
          <cell r="T738">
            <v>717</v>
          </cell>
          <cell r="U738">
            <v>507</v>
          </cell>
          <cell r="V738">
            <v>297</v>
          </cell>
          <cell r="W738">
            <v>863</v>
          </cell>
          <cell r="X738">
            <v>760</v>
          </cell>
          <cell r="Y738">
            <v>624</v>
          </cell>
          <cell r="Z738">
            <v>539</v>
          </cell>
          <cell r="AA738">
            <v>453</v>
          </cell>
          <cell r="AB738">
            <v>319</v>
          </cell>
          <cell r="AC738">
            <v>185</v>
          </cell>
        </row>
        <row r="739">
          <cell r="A739" t="str">
            <v>9-12-29</v>
          </cell>
          <cell r="B739">
            <v>1643</v>
          </cell>
          <cell r="C739">
            <v>1439</v>
          </cell>
          <cell r="D739">
            <v>1171</v>
          </cell>
          <cell r="E739">
            <v>1000</v>
          </cell>
          <cell r="F739">
            <v>829</v>
          </cell>
          <cell r="G739">
            <v>575</v>
          </cell>
          <cell r="H739">
            <v>320</v>
          </cell>
          <cell r="I739">
            <v>1103</v>
          </cell>
          <cell r="J739">
            <v>955</v>
          </cell>
          <cell r="K739">
            <v>768</v>
          </cell>
          <cell r="L739">
            <v>653</v>
          </cell>
          <cell r="M739">
            <v>537</v>
          </cell>
          <cell r="N739">
            <v>371</v>
          </cell>
          <cell r="O739">
            <v>205</v>
          </cell>
          <cell r="P739">
            <v>1232</v>
          </cell>
          <cell r="Q739">
            <v>1101</v>
          </cell>
          <cell r="R739">
            <v>916</v>
          </cell>
          <cell r="S739">
            <v>795</v>
          </cell>
          <cell r="T739">
            <v>673</v>
          </cell>
          <cell r="U739">
            <v>476</v>
          </cell>
          <cell r="V739">
            <v>278</v>
          </cell>
          <cell r="W739">
            <v>827</v>
          </cell>
          <cell r="X739">
            <v>731</v>
          </cell>
          <cell r="Y739">
            <v>601</v>
          </cell>
          <cell r="Z739">
            <v>519</v>
          </cell>
          <cell r="AA739">
            <v>436</v>
          </cell>
          <cell r="AB739">
            <v>307</v>
          </cell>
          <cell r="AC739">
            <v>178</v>
          </cell>
        </row>
        <row r="740">
          <cell r="A740" t="str">
            <v>9-13-29</v>
          </cell>
          <cell r="B740">
            <v>1512</v>
          </cell>
          <cell r="C740">
            <v>1330</v>
          </cell>
          <cell r="D740">
            <v>1087</v>
          </cell>
          <cell r="E740">
            <v>929</v>
          </cell>
          <cell r="F740">
            <v>771</v>
          </cell>
          <cell r="G740">
            <v>534</v>
          </cell>
          <cell r="H740">
            <v>297</v>
          </cell>
          <cell r="I740">
            <v>1056</v>
          </cell>
          <cell r="J740">
            <v>916</v>
          </cell>
          <cell r="K740">
            <v>738</v>
          </cell>
          <cell r="L740">
            <v>627</v>
          </cell>
          <cell r="M740">
            <v>515</v>
          </cell>
          <cell r="N740">
            <v>356</v>
          </cell>
          <cell r="O740">
            <v>196</v>
          </cell>
          <cell r="P740">
            <v>1133</v>
          </cell>
          <cell r="Q740">
            <v>1017</v>
          </cell>
          <cell r="R740">
            <v>851</v>
          </cell>
          <cell r="S740">
            <v>739</v>
          </cell>
          <cell r="T740">
            <v>626</v>
          </cell>
          <cell r="U740">
            <v>443</v>
          </cell>
          <cell r="V740">
            <v>259</v>
          </cell>
          <cell r="W740">
            <v>791</v>
          </cell>
          <cell r="X740">
            <v>701</v>
          </cell>
          <cell r="Y740">
            <v>577</v>
          </cell>
          <cell r="Z740">
            <v>498</v>
          </cell>
          <cell r="AA740">
            <v>418</v>
          </cell>
          <cell r="AB740">
            <v>294</v>
          </cell>
          <cell r="AC740">
            <v>170</v>
          </cell>
        </row>
        <row r="741">
          <cell r="A741" t="str">
            <v>9-14-29</v>
          </cell>
          <cell r="B741">
            <v>1373</v>
          </cell>
          <cell r="C741">
            <v>1213</v>
          </cell>
          <cell r="D741">
            <v>996</v>
          </cell>
          <cell r="E741">
            <v>853</v>
          </cell>
          <cell r="F741">
            <v>710</v>
          </cell>
          <cell r="G741">
            <v>492</v>
          </cell>
          <cell r="H741">
            <v>273</v>
          </cell>
          <cell r="I741">
            <v>1008</v>
          </cell>
          <cell r="J741">
            <v>876</v>
          </cell>
          <cell r="K741">
            <v>707</v>
          </cell>
          <cell r="L741">
            <v>601</v>
          </cell>
          <cell r="M741">
            <v>494</v>
          </cell>
          <cell r="N741">
            <v>340</v>
          </cell>
          <cell r="O741">
            <v>186</v>
          </cell>
          <cell r="P741">
            <v>1029</v>
          </cell>
          <cell r="Q741">
            <v>928</v>
          </cell>
          <cell r="R741">
            <v>780</v>
          </cell>
          <cell r="S741">
            <v>678</v>
          </cell>
          <cell r="T741">
            <v>576</v>
          </cell>
          <cell r="U741">
            <v>407</v>
          </cell>
          <cell r="V741">
            <v>238</v>
          </cell>
          <cell r="W741">
            <v>756</v>
          </cell>
          <cell r="X741">
            <v>670</v>
          </cell>
          <cell r="Y741">
            <v>553</v>
          </cell>
          <cell r="Z741">
            <v>477</v>
          </cell>
          <cell r="AA741">
            <v>401</v>
          </cell>
          <cell r="AB741">
            <v>282</v>
          </cell>
          <cell r="AC741">
            <v>163</v>
          </cell>
        </row>
        <row r="742">
          <cell r="A742" t="str">
            <v>9-15-29</v>
          </cell>
          <cell r="B742">
            <v>1227</v>
          </cell>
          <cell r="C742">
            <v>1089</v>
          </cell>
          <cell r="D742">
            <v>898</v>
          </cell>
          <cell r="E742">
            <v>770</v>
          </cell>
          <cell r="F742">
            <v>641</v>
          </cell>
          <cell r="G742">
            <v>444</v>
          </cell>
          <cell r="H742">
            <v>246</v>
          </cell>
          <cell r="I742">
            <v>960</v>
          </cell>
          <cell r="J742">
            <v>835</v>
          </cell>
          <cell r="K742">
            <v>674</v>
          </cell>
          <cell r="L742">
            <v>573</v>
          </cell>
          <cell r="M742">
            <v>472</v>
          </cell>
          <cell r="N742">
            <v>325</v>
          </cell>
          <cell r="O742">
            <v>177</v>
          </cell>
          <cell r="P742">
            <v>919</v>
          </cell>
          <cell r="Q742">
            <v>834</v>
          </cell>
          <cell r="R742">
            <v>703</v>
          </cell>
          <cell r="S742">
            <v>612</v>
          </cell>
          <cell r="T742">
            <v>520</v>
          </cell>
          <cell r="U742">
            <v>367</v>
          </cell>
          <cell r="V742">
            <v>214</v>
          </cell>
          <cell r="W742">
            <v>719</v>
          </cell>
          <cell r="X742">
            <v>639</v>
          </cell>
          <cell r="Y742">
            <v>528</v>
          </cell>
          <cell r="Z742">
            <v>456</v>
          </cell>
          <cell r="AA742">
            <v>383</v>
          </cell>
          <cell r="AB742">
            <v>269</v>
          </cell>
          <cell r="AC742">
            <v>154</v>
          </cell>
        </row>
        <row r="743">
          <cell r="A743" t="str">
            <v>9-16-29</v>
          </cell>
          <cell r="B743">
            <v>1076</v>
          </cell>
          <cell r="C743">
            <v>952</v>
          </cell>
          <cell r="D743">
            <v>790</v>
          </cell>
          <cell r="E743">
            <v>678</v>
          </cell>
          <cell r="F743">
            <v>565</v>
          </cell>
          <cell r="G743">
            <v>390</v>
          </cell>
          <cell r="H743">
            <v>215</v>
          </cell>
          <cell r="I743">
            <v>916</v>
          </cell>
          <cell r="J743">
            <v>791</v>
          </cell>
          <cell r="K743">
            <v>641</v>
          </cell>
          <cell r="L743">
            <v>544</v>
          </cell>
          <cell r="M743">
            <v>447</v>
          </cell>
          <cell r="N743">
            <v>308</v>
          </cell>
          <cell r="O743">
            <v>168</v>
          </cell>
          <cell r="P743">
            <v>806</v>
          </cell>
          <cell r="Q743">
            <v>729</v>
          </cell>
          <cell r="R743">
            <v>618</v>
          </cell>
          <cell r="S743">
            <v>539</v>
          </cell>
          <cell r="T743">
            <v>459</v>
          </cell>
          <cell r="U743">
            <v>323</v>
          </cell>
          <cell r="V743">
            <v>187</v>
          </cell>
          <cell r="W743">
            <v>686</v>
          </cell>
          <cell r="X743">
            <v>606</v>
          </cell>
          <cell r="Y743">
            <v>502</v>
          </cell>
          <cell r="Z743">
            <v>433</v>
          </cell>
          <cell r="AA743">
            <v>363</v>
          </cell>
          <cell r="AB743">
            <v>255</v>
          </cell>
          <cell r="AC743">
            <v>146</v>
          </cell>
        </row>
        <row r="744">
          <cell r="A744" t="str">
            <v>9-17-29</v>
          </cell>
          <cell r="B744">
            <v>901</v>
          </cell>
          <cell r="C744">
            <v>806</v>
          </cell>
          <cell r="D744">
            <v>672</v>
          </cell>
          <cell r="E744">
            <v>578</v>
          </cell>
          <cell r="F744">
            <v>483</v>
          </cell>
          <cell r="G744">
            <v>332</v>
          </cell>
          <cell r="H744">
            <v>181</v>
          </cell>
          <cell r="I744">
            <v>901</v>
          </cell>
          <cell r="J744">
            <v>748</v>
          </cell>
          <cell r="K744">
            <v>606</v>
          </cell>
          <cell r="L744">
            <v>515</v>
          </cell>
          <cell r="M744">
            <v>423</v>
          </cell>
          <cell r="N744">
            <v>290</v>
          </cell>
          <cell r="O744">
            <v>156</v>
          </cell>
          <cell r="P744">
            <v>676</v>
          </cell>
          <cell r="Q744">
            <v>617</v>
          </cell>
          <cell r="R744">
            <v>526</v>
          </cell>
          <cell r="S744">
            <v>459</v>
          </cell>
          <cell r="T744">
            <v>392</v>
          </cell>
          <cell r="U744">
            <v>275</v>
          </cell>
          <cell r="V744">
            <v>158</v>
          </cell>
          <cell r="W744">
            <v>676</v>
          </cell>
          <cell r="X744">
            <v>572</v>
          </cell>
          <cell r="Y744">
            <v>475</v>
          </cell>
          <cell r="Z744">
            <v>409</v>
          </cell>
          <cell r="AA744">
            <v>343</v>
          </cell>
          <cell r="AB744">
            <v>240</v>
          </cell>
          <cell r="AC744">
            <v>136</v>
          </cell>
        </row>
        <row r="745">
          <cell r="A745" t="str">
            <v>10-12-29</v>
          </cell>
          <cell r="B745">
            <v>1639</v>
          </cell>
          <cell r="C745">
            <v>1432</v>
          </cell>
          <cell r="D745">
            <v>1163</v>
          </cell>
          <cell r="E745">
            <v>992</v>
          </cell>
          <cell r="F745">
            <v>821</v>
          </cell>
          <cell r="G745">
            <v>568</v>
          </cell>
          <cell r="H745">
            <v>315</v>
          </cell>
          <cell r="I745">
            <v>1102</v>
          </cell>
          <cell r="J745">
            <v>952</v>
          </cell>
          <cell r="K745">
            <v>764</v>
          </cell>
          <cell r="L745">
            <v>649</v>
          </cell>
          <cell r="M745">
            <v>533</v>
          </cell>
          <cell r="N745">
            <v>368</v>
          </cell>
          <cell r="O745">
            <v>203</v>
          </cell>
          <cell r="P745">
            <v>1228</v>
          </cell>
          <cell r="Q745">
            <v>1096</v>
          </cell>
          <cell r="R745">
            <v>911</v>
          </cell>
          <cell r="S745">
            <v>789</v>
          </cell>
          <cell r="T745">
            <v>667</v>
          </cell>
          <cell r="U745">
            <v>471</v>
          </cell>
          <cell r="V745">
            <v>275</v>
          </cell>
          <cell r="W745">
            <v>825</v>
          </cell>
          <cell r="X745">
            <v>729</v>
          </cell>
          <cell r="Y745">
            <v>598</v>
          </cell>
          <cell r="Z745">
            <v>516</v>
          </cell>
          <cell r="AA745">
            <v>433</v>
          </cell>
          <cell r="AB745">
            <v>305</v>
          </cell>
          <cell r="AC745">
            <v>177</v>
          </cell>
        </row>
        <row r="746">
          <cell r="A746" t="str">
            <v>10-13-29</v>
          </cell>
          <cell r="B746">
            <v>1504</v>
          </cell>
          <cell r="C746">
            <v>1322</v>
          </cell>
          <cell r="D746">
            <v>1078</v>
          </cell>
          <cell r="E746">
            <v>921</v>
          </cell>
          <cell r="F746">
            <v>763</v>
          </cell>
          <cell r="G746">
            <v>528</v>
          </cell>
          <cell r="H746">
            <v>293</v>
          </cell>
          <cell r="I746">
            <v>1054</v>
          </cell>
          <cell r="J746">
            <v>913</v>
          </cell>
          <cell r="K746">
            <v>734</v>
          </cell>
          <cell r="L746">
            <v>623</v>
          </cell>
          <cell r="M746">
            <v>512</v>
          </cell>
          <cell r="N746">
            <v>353</v>
          </cell>
          <cell r="O746">
            <v>194</v>
          </cell>
          <cell r="P746">
            <v>1128</v>
          </cell>
          <cell r="Q746">
            <v>1011</v>
          </cell>
          <cell r="R746">
            <v>844</v>
          </cell>
          <cell r="S746">
            <v>732</v>
          </cell>
          <cell r="T746">
            <v>620</v>
          </cell>
          <cell r="U746">
            <v>438</v>
          </cell>
          <cell r="V746">
            <v>255</v>
          </cell>
          <cell r="W746">
            <v>790</v>
          </cell>
          <cell r="X746">
            <v>698</v>
          </cell>
          <cell r="Y746">
            <v>574</v>
          </cell>
          <cell r="Z746">
            <v>495</v>
          </cell>
          <cell r="AA746">
            <v>416</v>
          </cell>
          <cell r="AB746">
            <v>293</v>
          </cell>
          <cell r="AC746">
            <v>169</v>
          </cell>
        </row>
        <row r="747">
          <cell r="A747" t="str">
            <v>10-14-29</v>
          </cell>
          <cell r="B747">
            <v>1365</v>
          </cell>
          <cell r="C747">
            <v>1206</v>
          </cell>
          <cell r="D747">
            <v>988</v>
          </cell>
          <cell r="E747">
            <v>845</v>
          </cell>
          <cell r="F747">
            <v>702</v>
          </cell>
          <cell r="G747">
            <v>486</v>
          </cell>
          <cell r="H747">
            <v>270</v>
          </cell>
          <cell r="I747">
            <v>1006</v>
          </cell>
          <cell r="J747">
            <v>873</v>
          </cell>
          <cell r="K747">
            <v>704</v>
          </cell>
          <cell r="L747">
            <v>598</v>
          </cell>
          <cell r="M747">
            <v>491</v>
          </cell>
          <cell r="N747">
            <v>338</v>
          </cell>
          <cell r="O747">
            <v>185</v>
          </cell>
          <cell r="P747">
            <v>1024</v>
          </cell>
          <cell r="Q747">
            <v>922</v>
          </cell>
          <cell r="R747">
            <v>774</v>
          </cell>
          <cell r="S747">
            <v>672</v>
          </cell>
          <cell r="T747">
            <v>570</v>
          </cell>
          <cell r="U747">
            <v>403</v>
          </cell>
          <cell r="V747">
            <v>235</v>
          </cell>
          <cell r="W747">
            <v>754</v>
          </cell>
          <cell r="X747">
            <v>668</v>
          </cell>
          <cell r="Y747">
            <v>552</v>
          </cell>
          <cell r="Z747">
            <v>476</v>
          </cell>
          <cell r="AA747">
            <v>399</v>
          </cell>
          <cell r="AB747">
            <v>280</v>
          </cell>
          <cell r="AC747">
            <v>161</v>
          </cell>
        </row>
        <row r="748">
          <cell r="A748" t="str">
            <v>10-15-29</v>
          </cell>
          <cell r="B748">
            <v>1221</v>
          </cell>
          <cell r="C748">
            <v>1084</v>
          </cell>
          <cell r="D748">
            <v>893</v>
          </cell>
          <cell r="E748">
            <v>765</v>
          </cell>
          <cell r="F748">
            <v>637</v>
          </cell>
          <cell r="G748">
            <v>441</v>
          </cell>
          <cell r="H748">
            <v>244</v>
          </cell>
          <cell r="I748">
            <v>958</v>
          </cell>
          <cell r="J748">
            <v>833</v>
          </cell>
          <cell r="K748">
            <v>673</v>
          </cell>
          <cell r="L748">
            <v>572</v>
          </cell>
          <cell r="M748">
            <v>470</v>
          </cell>
          <cell r="N748">
            <v>323</v>
          </cell>
          <cell r="O748">
            <v>176</v>
          </cell>
          <cell r="P748">
            <v>915</v>
          </cell>
          <cell r="Q748">
            <v>829</v>
          </cell>
          <cell r="R748">
            <v>699</v>
          </cell>
          <cell r="S748">
            <v>608</v>
          </cell>
          <cell r="T748">
            <v>517</v>
          </cell>
          <cell r="U748">
            <v>365</v>
          </cell>
          <cell r="V748">
            <v>212</v>
          </cell>
          <cell r="W748">
            <v>718</v>
          </cell>
          <cell r="X748">
            <v>637</v>
          </cell>
          <cell r="Y748">
            <v>527</v>
          </cell>
          <cell r="Z748">
            <v>455</v>
          </cell>
          <cell r="AA748">
            <v>382</v>
          </cell>
          <cell r="AB748">
            <v>268</v>
          </cell>
          <cell r="AC748">
            <v>153</v>
          </cell>
        </row>
        <row r="749">
          <cell r="A749" t="str">
            <v>10-16-29</v>
          </cell>
          <cell r="B749">
            <v>1071</v>
          </cell>
          <cell r="C749">
            <v>948</v>
          </cell>
          <cell r="D749">
            <v>785</v>
          </cell>
          <cell r="E749">
            <v>674</v>
          </cell>
          <cell r="F749">
            <v>562</v>
          </cell>
          <cell r="G749">
            <v>389</v>
          </cell>
          <cell r="H749">
            <v>216</v>
          </cell>
          <cell r="I749">
            <v>914</v>
          </cell>
          <cell r="J749">
            <v>791</v>
          </cell>
          <cell r="K749">
            <v>640</v>
          </cell>
          <cell r="L749">
            <v>544</v>
          </cell>
          <cell r="M749">
            <v>447</v>
          </cell>
          <cell r="N749">
            <v>308</v>
          </cell>
          <cell r="O749">
            <v>168</v>
          </cell>
          <cell r="P749">
            <v>803</v>
          </cell>
          <cell r="Q749">
            <v>725</v>
          </cell>
          <cell r="R749">
            <v>614</v>
          </cell>
          <cell r="S749">
            <v>535</v>
          </cell>
          <cell r="T749">
            <v>456</v>
          </cell>
          <cell r="U749">
            <v>322</v>
          </cell>
          <cell r="V749">
            <v>188</v>
          </cell>
          <cell r="W749">
            <v>685</v>
          </cell>
          <cell r="X749">
            <v>605</v>
          </cell>
          <cell r="Y749">
            <v>501</v>
          </cell>
          <cell r="Z749">
            <v>432</v>
          </cell>
          <cell r="AA749">
            <v>362</v>
          </cell>
          <cell r="AB749">
            <v>254</v>
          </cell>
          <cell r="AC749">
            <v>146</v>
          </cell>
        </row>
        <row r="750">
          <cell r="A750" t="str">
            <v>10-17-29</v>
          </cell>
          <cell r="B750">
            <v>894</v>
          </cell>
          <cell r="C750">
            <v>801</v>
          </cell>
          <cell r="D750">
            <v>668</v>
          </cell>
          <cell r="E750">
            <v>574</v>
          </cell>
          <cell r="F750">
            <v>480</v>
          </cell>
          <cell r="G750">
            <v>331</v>
          </cell>
          <cell r="H750">
            <v>181</v>
          </cell>
          <cell r="I750">
            <v>851</v>
          </cell>
          <cell r="J750">
            <v>746</v>
          </cell>
          <cell r="K750">
            <v>605</v>
          </cell>
          <cell r="L750">
            <v>513</v>
          </cell>
          <cell r="M750">
            <v>421</v>
          </cell>
          <cell r="N750">
            <v>289</v>
          </cell>
          <cell r="O750">
            <v>156</v>
          </cell>
          <cell r="P750">
            <v>670</v>
          </cell>
          <cell r="Q750">
            <v>613</v>
          </cell>
          <cell r="R750">
            <v>523</v>
          </cell>
          <cell r="S750">
            <v>457</v>
          </cell>
          <cell r="T750">
            <v>390</v>
          </cell>
          <cell r="U750">
            <v>274</v>
          </cell>
          <cell r="V750">
            <v>157</v>
          </cell>
          <cell r="W750">
            <v>637</v>
          </cell>
          <cell r="X750">
            <v>571</v>
          </cell>
          <cell r="Y750">
            <v>473</v>
          </cell>
          <cell r="Z750">
            <v>408</v>
          </cell>
          <cell r="AA750">
            <v>342</v>
          </cell>
          <cell r="AB750">
            <v>239</v>
          </cell>
          <cell r="AC750">
            <v>135</v>
          </cell>
        </row>
        <row r="751">
          <cell r="A751" t="str">
            <v>10-18-29</v>
          </cell>
          <cell r="B751">
            <v>843</v>
          </cell>
          <cell r="C751">
            <v>740</v>
          </cell>
          <cell r="D751">
            <v>601</v>
          </cell>
          <cell r="E751">
            <v>511</v>
          </cell>
          <cell r="F751">
            <v>420</v>
          </cell>
          <cell r="G751">
            <v>289</v>
          </cell>
          <cell r="H751">
            <v>157</v>
          </cell>
          <cell r="I751">
            <v>843</v>
          </cell>
          <cell r="J751">
            <v>740</v>
          </cell>
          <cell r="K751">
            <v>601</v>
          </cell>
          <cell r="L751">
            <v>511</v>
          </cell>
          <cell r="M751">
            <v>420</v>
          </cell>
          <cell r="N751">
            <v>289</v>
          </cell>
          <cell r="O751">
            <v>157</v>
          </cell>
          <cell r="P751">
            <v>632</v>
          </cell>
          <cell r="Q751">
            <v>566</v>
          </cell>
          <cell r="R751">
            <v>471</v>
          </cell>
          <cell r="S751">
            <v>406</v>
          </cell>
          <cell r="T751">
            <v>341</v>
          </cell>
          <cell r="U751">
            <v>239</v>
          </cell>
          <cell r="V751">
            <v>137</v>
          </cell>
          <cell r="W751">
            <v>632</v>
          </cell>
          <cell r="X751">
            <v>566</v>
          </cell>
          <cell r="Y751">
            <v>471</v>
          </cell>
          <cell r="Z751">
            <v>406</v>
          </cell>
          <cell r="AA751">
            <v>341</v>
          </cell>
          <cell r="AB751">
            <v>239</v>
          </cell>
          <cell r="AC751">
            <v>137</v>
          </cell>
        </row>
        <row r="752">
          <cell r="A752" t="str">
            <v>11-13-29</v>
          </cell>
          <cell r="B752">
            <v>1497</v>
          </cell>
          <cell r="C752">
            <v>1313</v>
          </cell>
          <cell r="D752">
            <v>1069</v>
          </cell>
          <cell r="E752">
            <v>912</v>
          </cell>
          <cell r="F752">
            <v>755</v>
          </cell>
          <cell r="G752">
            <v>522</v>
          </cell>
          <cell r="H752">
            <v>289</v>
          </cell>
          <cell r="I752">
            <v>1052</v>
          </cell>
          <cell r="J752">
            <v>911</v>
          </cell>
          <cell r="K752">
            <v>732</v>
          </cell>
          <cell r="L752">
            <v>621</v>
          </cell>
          <cell r="M752">
            <v>510</v>
          </cell>
          <cell r="N752">
            <v>351</v>
          </cell>
          <cell r="O752">
            <v>192</v>
          </cell>
          <cell r="P752">
            <v>1122</v>
          </cell>
          <cell r="Q752">
            <v>1005</v>
          </cell>
          <cell r="R752">
            <v>837</v>
          </cell>
          <cell r="S752">
            <v>725</v>
          </cell>
          <cell r="T752">
            <v>613</v>
          </cell>
          <cell r="U752">
            <v>433</v>
          </cell>
          <cell r="V752">
            <v>252</v>
          </cell>
          <cell r="W752">
            <v>788</v>
          </cell>
          <cell r="X752">
            <v>697</v>
          </cell>
          <cell r="Y752">
            <v>573</v>
          </cell>
          <cell r="Z752">
            <v>494</v>
          </cell>
          <cell r="AA752">
            <v>414</v>
          </cell>
          <cell r="AB752">
            <v>291</v>
          </cell>
          <cell r="AC752">
            <v>168</v>
          </cell>
        </row>
        <row r="753">
          <cell r="A753" t="str">
            <v>11-14-29</v>
          </cell>
          <cell r="B753">
            <v>1357</v>
          </cell>
          <cell r="C753">
            <v>1197</v>
          </cell>
          <cell r="D753">
            <v>979</v>
          </cell>
          <cell r="E753">
            <v>837</v>
          </cell>
          <cell r="F753">
            <v>695</v>
          </cell>
          <cell r="G753">
            <v>480</v>
          </cell>
          <cell r="H753">
            <v>265</v>
          </cell>
          <cell r="I753">
            <v>1004</v>
          </cell>
          <cell r="J753">
            <v>871</v>
          </cell>
          <cell r="K753">
            <v>701</v>
          </cell>
          <cell r="L753">
            <v>595</v>
          </cell>
          <cell r="M753">
            <v>489</v>
          </cell>
          <cell r="N753">
            <v>337</v>
          </cell>
          <cell r="O753">
            <v>184</v>
          </cell>
          <cell r="P753">
            <v>1017</v>
          </cell>
          <cell r="Q753">
            <v>916</v>
          </cell>
          <cell r="R753">
            <v>767</v>
          </cell>
          <cell r="S753">
            <v>666</v>
          </cell>
          <cell r="T753">
            <v>564</v>
          </cell>
          <cell r="U753">
            <v>398</v>
          </cell>
          <cell r="V753">
            <v>231</v>
          </cell>
          <cell r="W753">
            <v>752</v>
          </cell>
          <cell r="X753">
            <v>666</v>
          </cell>
          <cell r="Y753">
            <v>549</v>
          </cell>
          <cell r="Z753">
            <v>473</v>
          </cell>
          <cell r="AA753">
            <v>397</v>
          </cell>
          <cell r="AB753">
            <v>279</v>
          </cell>
          <cell r="AC753">
            <v>160</v>
          </cell>
        </row>
        <row r="754">
          <cell r="A754" t="str">
            <v>11-15-29</v>
          </cell>
          <cell r="B754">
            <v>1212</v>
          </cell>
          <cell r="C754">
            <v>1073</v>
          </cell>
          <cell r="D754">
            <v>885</v>
          </cell>
          <cell r="E754">
            <v>758</v>
          </cell>
          <cell r="F754">
            <v>631</v>
          </cell>
          <cell r="G754">
            <v>436</v>
          </cell>
          <cell r="H754">
            <v>241</v>
          </cell>
          <cell r="I754">
            <v>955</v>
          </cell>
          <cell r="J754">
            <v>830</v>
          </cell>
          <cell r="K754">
            <v>671</v>
          </cell>
          <cell r="L754">
            <v>570</v>
          </cell>
          <cell r="M754">
            <v>468</v>
          </cell>
          <cell r="N754">
            <v>322</v>
          </cell>
          <cell r="O754">
            <v>175</v>
          </cell>
          <cell r="P754">
            <v>908</v>
          </cell>
          <cell r="Q754">
            <v>821</v>
          </cell>
          <cell r="R754">
            <v>693</v>
          </cell>
          <cell r="S754">
            <v>603</v>
          </cell>
          <cell r="T754">
            <v>512</v>
          </cell>
          <cell r="U754">
            <v>361</v>
          </cell>
          <cell r="V754">
            <v>210</v>
          </cell>
          <cell r="W754">
            <v>716</v>
          </cell>
          <cell r="X754">
            <v>635</v>
          </cell>
          <cell r="Y754">
            <v>525</v>
          </cell>
          <cell r="Z754">
            <v>453</v>
          </cell>
          <cell r="AA754">
            <v>380</v>
          </cell>
          <cell r="AB754">
            <v>267</v>
          </cell>
          <cell r="AC754">
            <v>153</v>
          </cell>
        </row>
        <row r="755">
          <cell r="A755" t="str">
            <v>11-16-29</v>
          </cell>
          <cell r="B755">
            <v>1066</v>
          </cell>
          <cell r="C755">
            <v>941</v>
          </cell>
          <cell r="D755">
            <v>780</v>
          </cell>
          <cell r="E755">
            <v>669</v>
          </cell>
          <cell r="F755">
            <v>558</v>
          </cell>
          <cell r="G755">
            <v>385</v>
          </cell>
          <cell r="H755">
            <v>212</v>
          </cell>
          <cell r="I755">
            <v>913</v>
          </cell>
          <cell r="J755">
            <v>788</v>
          </cell>
          <cell r="K755">
            <v>638</v>
          </cell>
          <cell r="L755">
            <v>542</v>
          </cell>
          <cell r="M755">
            <v>445</v>
          </cell>
          <cell r="N755">
            <v>305</v>
          </cell>
          <cell r="O755">
            <v>165</v>
          </cell>
          <cell r="P755">
            <v>799</v>
          </cell>
          <cell r="Q755">
            <v>720</v>
          </cell>
          <cell r="R755">
            <v>611</v>
          </cell>
          <cell r="S755">
            <v>532</v>
          </cell>
          <cell r="T755">
            <v>453</v>
          </cell>
          <cell r="U755">
            <v>319</v>
          </cell>
          <cell r="V755">
            <v>185</v>
          </cell>
          <cell r="W755">
            <v>685</v>
          </cell>
          <cell r="X755">
            <v>603</v>
          </cell>
          <cell r="Y755">
            <v>499</v>
          </cell>
          <cell r="Z755">
            <v>430</v>
          </cell>
          <cell r="AA755">
            <v>361</v>
          </cell>
          <cell r="AB755">
            <v>253</v>
          </cell>
          <cell r="AC755">
            <v>144</v>
          </cell>
        </row>
        <row r="756">
          <cell r="A756" t="str">
            <v>11-17-29</v>
          </cell>
          <cell r="B756">
            <v>892</v>
          </cell>
          <cell r="C756">
            <v>797</v>
          </cell>
          <cell r="D756">
            <v>663</v>
          </cell>
          <cell r="E756">
            <v>570</v>
          </cell>
          <cell r="F756">
            <v>476</v>
          </cell>
          <cell r="G756">
            <v>328</v>
          </cell>
          <cell r="H756">
            <v>180</v>
          </cell>
          <cell r="I756">
            <v>852</v>
          </cell>
          <cell r="J756">
            <v>745</v>
          </cell>
          <cell r="K756">
            <v>602</v>
          </cell>
          <cell r="L756">
            <v>512</v>
          </cell>
          <cell r="M756">
            <v>421</v>
          </cell>
          <cell r="N756">
            <v>289</v>
          </cell>
          <cell r="O756">
            <v>156</v>
          </cell>
          <cell r="P756">
            <v>668</v>
          </cell>
          <cell r="Q756">
            <v>610</v>
          </cell>
          <cell r="R756">
            <v>519</v>
          </cell>
          <cell r="S756">
            <v>453</v>
          </cell>
          <cell r="T756">
            <v>387</v>
          </cell>
          <cell r="U756">
            <v>272</v>
          </cell>
          <cell r="V756">
            <v>157</v>
          </cell>
          <cell r="W756">
            <v>638</v>
          </cell>
          <cell r="X756">
            <v>570</v>
          </cell>
          <cell r="Y756">
            <v>471</v>
          </cell>
          <cell r="Z756">
            <v>407</v>
          </cell>
          <cell r="AA756">
            <v>342</v>
          </cell>
          <cell r="AB756">
            <v>239</v>
          </cell>
          <cell r="AC756">
            <v>136</v>
          </cell>
        </row>
        <row r="757">
          <cell r="A757" t="str">
            <v>11-18-29</v>
          </cell>
          <cell r="B757">
            <v>835</v>
          </cell>
          <cell r="C757">
            <v>741</v>
          </cell>
          <cell r="D757">
            <v>595</v>
          </cell>
          <cell r="E757">
            <v>506</v>
          </cell>
          <cell r="F757">
            <v>416</v>
          </cell>
          <cell r="G757">
            <v>285</v>
          </cell>
          <cell r="H757">
            <v>154</v>
          </cell>
          <cell r="I757">
            <v>835</v>
          </cell>
          <cell r="J757">
            <v>741</v>
          </cell>
          <cell r="K757">
            <v>595</v>
          </cell>
          <cell r="L757">
            <v>506</v>
          </cell>
          <cell r="M757">
            <v>416</v>
          </cell>
          <cell r="N757">
            <v>285</v>
          </cell>
          <cell r="O757">
            <v>154</v>
          </cell>
          <cell r="P757">
            <v>626</v>
          </cell>
          <cell r="Q757">
            <v>567</v>
          </cell>
          <cell r="R757">
            <v>466</v>
          </cell>
          <cell r="S757">
            <v>402</v>
          </cell>
          <cell r="T757">
            <v>338</v>
          </cell>
          <cell r="U757">
            <v>236</v>
          </cell>
          <cell r="V757">
            <v>134</v>
          </cell>
          <cell r="W757">
            <v>626</v>
          </cell>
          <cell r="X757">
            <v>567</v>
          </cell>
          <cell r="Y757">
            <v>466</v>
          </cell>
          <cell r="Z757">
            <v>402</v>
          </cell>
          <cell r="AA757">
            <v>338</v>
          </cell>
          <cell r="AB757">
            <v>236</v>
          </cell>
          <cell r="AC757">
            <v>134</v>
          </cell>
        </row>
        <row r="758">
          <cell r="A758" t="str">
            <v>11-19-29</v>
          </cell>
          <cell r="B758">
            <v>783</v>
          </cell>
          <cell r="C758">
            <v>696</v>
          </cell>
          <cell r="D758">
            <v>564</v>
          </cell>
          <cell r="E758">
            <v>480</v>
          </cell>
          <cell r="F758">
            <v>395</v>
          </cell>
          <cell r="G758">
            <v>271</v>
          </cell>
          <cell r="H758">
            <v>146</v>
          </cell>
          <cell r="I758">
            <v>783</v>
          </cell>
          <cell r="J758">
            <v>696</v>
          </cell>
          <cell r="K758">
            <v>564</v>
          </cell>
          <cell r="L758">
            <v>480</v>
          </cell>
          <cell r="M758">
            <v>395</v>
          </cell>
          <cell r="N758">
            <v>271</v>
          </cell>
          <cell r="O758">
            <v>146</v>
          </cell>
          <cell r="P758">
            <v>587</v>
          </cell>
          <cell r="Q758">
            <v>533</v>
          </cell>
          <cell r="R758">
            <v>441</v>
          </cell>
          <cell r="S758">
            <v>381</v>
          </cell>
          <cell r="T758">
            <v>321</v>
          </cell>
          <cell r="U758">
            <v>224</v>
          </cell>
          <cell r="V758">
            <v>127</v>
          </cell>
          <cell r="W758">
            <v>587</v>
          </cell>
          <cell r="X758">
            <v>533</v>
          </cell>
          <cell r="Y758">
            <v>441</v>
          </cell>
          <cell r="Z758">
            <v>381</v>
          </cell>
          <cell r="AA758">
            <v>321</v>
          </cell>
          <cell r="AB758">
            <v>224</v>
          </cell>
          <cell r="AC758">
            <v>127</v>
          </cell>
        </row>
        <row r="759">
          <cell r="A759" t="str">
            <v>12-14-29</v>
          </cell>
          <cell r="B759">
            <v>1348</v>
          </cell>
          <cell r="C759">
            <v>1187</v>
          </cell>
          <cell r="D759">
            <v>970</v>
          </cell>
          <cell r="E759">
            <v>828</v>
          </cell>
          <cell r="F759">
            <v>686</v>
          </cell>
          <cell r="G759">
            <v>474</v>
          </cell>
          <cell r="H759">
            <v>261</v>
          </cell>
          <cell r="I759">
            <v>1000</v>
          </cell>
          <cell r="J759">
            <v>867</v>
          </cell>
          <cell r="K759">
            <v>697</v>
          </cell>
          <cell r="L759">
            <v>592</v>
          </cell>
          <cell r="M759">
            <v>487</v>
          </cell>
          <cell r="N759">
            <v>335</v>
          </cell>
          <cell r="O759">
            <v>183</v>
          </cell>
          <cell r="P759">
            <v>1011</v>
          </cell>
          <cell r="Q759">
            <v>908</v>
          </cell>
          <cell r="R759">
            <v>759</v>
          </cell>
          <cell r="S759">
            <v>658</v>
          </cell>
          <cell r="T759">
            <v>557</v>
          </cell>
          <cell r="U759">
            <v>392</v>
          </cell>
          <cell r="V759">
            <v>227</v>
          </cell>
          <cell r="W759">
            <v>750</v>
          </cell>
          <cell r="X759">
            <v>663</v>
          </cell>
          <cell r="Y759">
            <v>546</v>
          </cell>
          <cell r="Z759">
            <v>471</v>
          </cell>
          <cell r="AA759">
            <v>395</v>
          </cell>
          <cell r="AB759">
            <v>277</v>
          </cell>
          <cell r="AC759">
            <v>159</v>
          </cell>
        </row>
        <row r="760">
          <cell r="A760" t="str">
            <v>12-15-29</v>
          </cell>
          <cell r="B760">
            <v>1202</v>
          </cell>
          <cell r="C760">
            <v>1063</v>
          </cell>
          <cell r="D760">
            <v>874</v>
          </cell>
          <cell r="E760">
            <v>748</v>
          </cell>
          <cell r="F760">
            <v>622</v>
          </cell>
          <cell r="G760">
            <v>429</v>
          </cell>
          <cell r="H760">
            <v>236</v>
          </cell>
          <cell r="I760">
            <v>952</v>
          </cell>
          <cell r="J760">
            <v>827</v>
          </cell>
          <cell r="K760">
            <v>667</v>
          </cell>
          <cell r="L760">
            <v>566</v>
          </cell>
          <cell r="M760">
            <v>465</v>
          </cell>
          <cell r="N760">
            <v>319</v>
          </cell>
          <cell r="O760">
            <v>173</v>
          </cell>
          <cell r="P760">
            <v>901</v>
          </cell>
          <cell r="Q760">
            <v>814</v>
          </cell>
          <cell r="R760">
            <v>684</v>
          </cell>
          <cell r="S760">
            <v>595</v>
          </cell>
          <cell r="T760">
            <v>505</v>
          </cell>
          <cell r="U760">
            <v>356</v>
          </cell>
          <cell r="V760">
            <v>206</v>
          </cell>
          <cell r="W760">
            <v>713</v>
          </cell>
          <cell r="X760">
            <v>633</v>
          </cell>
          <cell r="Y760">
            <v>522</v>
          </cell>
          <cell r="Z760">
            <v>450</v>
          </cell>
          <cell r="AA760">
            <v>378</v>
          </cell>
          <cell r="AB760">
            <v>265</v>
          </cell>
          <cell r="AC760">
            <v>151</v>
          </cell>
        </row>
        <row r="761">
          <cell r="A761" t="str">
            <v>12-16-29</v>
          </cell>
          <cell r="B761">
            <v>1059</v>
          </cell>
          <cell r="C761">
            <v>935</v>
          </cell>
          <cell r="D761">
            <v>774</v>
          </cell>
          <cell r="E761">
            <v>664</v>
          </cell>
          <cell r="F761">
            <v>553</v>
          </cell>
          <cell r="G761">
            <v>382</v>
          </cell>
          <cell r="H761">
            <v>211</v>
          </cell>
          <cell r="I761">
            <v>911</v>
          </cell>
          <cell r="J761">
            <v>788</v>
          </cell>
          <cell r="K761">
            <v>636</v>
          </cell>
          <cell r="L761">
            <v>540</v>
          </cell>
          <cell r="M761">
            <v>444</v>
          </cell>
          <cell r="N761">
            <v>305</v>
          </cell>
          <cell r="O761">
            <v>165</v>
          </cell>
          <cell r="P761">
            <v>794</v>
          </cell>
          <cell r="Q761">
            <v>715</v>
          </cell>
          <cell r="R761">
            <v>606</v>
          </cell>
          <cell r="S761">
            <v>528</v>
          </cell>
          <cell r="T761">
            <v>449</v>
          </cell>
          <cell r="U761">
            <v>316</v>
          </cell>
          <cell r="V761">
            <v>183</v>
          </cell>
          <cell r="W761">
            <v>683</v>
          </cell>
          <cell r="X761">
            <v>603</v>
          </cell>
          <cell r="Y761">
            <v>498</v>
          </cell>
          <cell r="Z761">
            <v>429</v>
          </cell>
          <cell r="AA761">
            <v>360</v>
          </cell>
          <cell r="AB761">
            <v>252</v>
          </cell>
          <cell r="AC761">
            <v>143</v>
          </cell>
        </row>
        <row r="762">
          <cell r="A762" t="str">
            <v>12-17-29</v>
          </cell>
          <cell r="B762">
            <v>889</v>
          </cell>
          <cell r="C762">
            <v>791</v>
          </cell>
          <cell r="D762">
            <v>658</v>
          </cell>
          <cell r="E762">
            <v>566</v>
          </cell>
          <cell r="F762">
            <v>473</v>
          </cell>
          <cell r="G762">
            <v>327</v>
          </cell>
          <cell r="H762">
            <v>180</v>
          </cell>
          <cell r="I762">
            <v>857</v>
          </cell>
          <cell r="J762">
            <v>743</v>
          </cell>
          <cell r="K762">
            <v>601</v>
          </cell>
          <cell r="L762">
            <v>511</v>
          </cell>
          <cell r="M762">
            <v>420</v>
          </cell>
          <cell r="N762">
            <v>288</v>
          </cell>
          <cell r="O762">
            <v>156</v>
          </cell>
          <cell r="P762">
            <v>666</v>
          </cell>
          <cell r="Q762">
            <v>605</v>
          </cell>
          <cell r="R762">
            <v>515</v>
          </cell>
          <cell r="S762">
            <v>450</v>
          </cell>
          <cell r="T762">
            <v>384</v>
          </cell>
          <cell r="U762">
            <v>271</v>
          </cell>
          <cell r="V762">
            <v>157</v>
          </cell>
          <cell r="W762">
            <v>642</v>
          </cell>
          <cell r="X762">
            <v>568</v>
          </cell>
          <cell r="Y762">
            <v>470</v>
          </cell>
          <cell r="Z762">
            <v>406</v>
          </cell>
          <cell r="AA762">
            <v>341</v>
          </cell>
          <cell r="AB762">
            <v>239</v>
          </cell>
          <cell r="AC762">
            <v>136</v>
          </cell>
        </row>
        <row r="763">
          <cell r="A763" t="str">
            <v>12-18-29</v>
          </cell>
          <cell r="B763">
            <v>828</v>
          </cell>
          <cell r="C763">
            <v>732</v>
          </cell>
          <cell r="D763">
            <v>589</v>
          </cell>
          <cell r="E763">
            <v>501</v>
          </cell>
          <cell r="F763">
            <v>413</v>
          </cell>
          <cell r="G763">
            <v>283</v>
          </cell>
          <cell r="H763">
            <v>152</v>
          </cell>
          <cell r="I763">
            <v>828</v>
          </cell>
          <cell r="J763">
            <v>732</v>
          </cell>
          <cell r="K763">
            <v>589</v>
          </cell>
          <cell r="L763">
            <v>501</v>
          </cell>
          <cell r="M763">
            <v>413</v>
          </cell>
          <cell r="N763">
            <v>283</v>
          </cell>
          <cell r="O763">
            <v>152</v>
          </cell>
          <cell r="P763">
            <v>621</v>
          </cell>
          <cell r="Q763">
            <v>560</v>
          </cell>
          <cell r="R763">
            <v>461</v>
          </cell>
          <cell r="S763">
            <v>398</v>
          </cell>
          <cell r="T763">
            <v>335</v>
          </cell>
          <cell r="U763">
            <v>234</v>
          </cell>
          <cell r="V763">
            <v>133</v>
          </cell>
          <cell r="W763">
            <v>621</v>
          </cell>
          <cell r="X763">
            <v>560</v>
          </cell>
          <cell r="Y763">
            <v>461</v>
          </cell>
          <cell r="Z763">
            <v>398</v>
          </cell>
          <cell r="AA763">
            <v>335</v>
          </cell>
          <cell r="AB763">
            <v>234</v>
          </cell>
          <cell r="AC763">
            <v>133</v>
          </cell>
        </row>
        <row r="764">
          <cell r="A764" t="str">
            <v>12-19-29</v>
          </cell>
          <cell r="B764">
            <v>776</v>
          </cell>
          <cell r="C764">
            <v>690</v>
          </cell>
          <cell r="D764">
            <v>557</v>
          </cell>
          <cell r="E764">
            <v>474</v>
          </cell>
          <cell r="F764">
            <v>391</v>
          </cell>
          <cell r="G764">
            <v>269</v>
          </cell>
          <cell r="H764">
            <v>146</v>
          </cell>
          <cell r="I764">
            <v>776</v>
          </cell>
          <cell r="J764">
            <v>690</v>
          </cell>
          <cell r="K764">
            <v>557</v>
          </cell>
          <cell r="L764">
            <v>474</v>
          </cell>
          <cell r="M764">
            <v>391</v>
          </cell>
          <cell r="N764">
            <v>269</v>
          </cell>
          <cell r="O764">
            <v>146</v>
          </cell>
          <cell r="P764">
            <v>581</v>
          </cell>
          <cell r="Q764">
            <v>528</v>
          </cell>
          <cell r="R764">
            <v>436</v>
          </cell>
          <cell r="S764">
            <v>377</v>
          </cell>
          <cell r="T764">
            <v>318</v>
          </cell>
          <cell r="U764">
            <v>223</v>
          </cell>
          <cell r="V764">
            <v>128</v>
          </cell>
          <cell r="W764">
            <v>581</v>
          </cell>
          <cell r="X764">
            <v>528</v>
          </cell>
          <cell r="Y764">
            <v>436</v>
          </cell>
          <cell r="Z764">
            <v>377</v>
          </cell>
          <cell r="AA764">
            <v>318</v>
          </cell>
          <cell r="AB764">
            <v>223</v>
          </cell>
          <cell r="AC764">
            <v>128</v>
          </cell>
        </row>
        <row r="765">
          <cell r="A765" t="str">
            <v>12-20-29</v>
          </cell>
          <cell r="B765">
            <v>721</v>
          </cell>
          <cell r="C765">
            <v>644</v>
          </cell>
          <cell r="D765">
            <v>528</v>
          </cell>
          <cell r="E765">
            <v>450</v>
          </cell>
          <cell r="F765">
            <v>372</v>
          </cell>
          <cell r="G765">
            <v>254</v>
          </cell>
          <cell r="H765">
            <v>135</v>
          </cell>
          <cell r="I765">
            <v>721</v>
          </cell>
          <cell r="J765">
            <v>644</v>
          </cell>
          <cell r="K765">
            <v>528</v>
          </cell>
          <cell r="L765">
            <v>450</v>
          </cell>
          <cell r="M765">
            <v>372</v>
          </cell>
          <cell r="N765">
            <v>254</v>
          </cell>
          <cell r="O765">
            <v>135</v>
          </cell>
          <cell r="P765">
            <v>540</v>
          </cell>
          <cell r="Q765">
            <v>492</v>
          </cell>
          <cell r="R765">
            <v>413</v>
          </cell>
          <cell r="S765">
            <v>358</v>
          </cell>
          <cell r="T765">
            <v>302</v>
          </cell>
          <cell r="U765">
            <v>210</v>
          </cell>
          <cell r="V765">
            <v>117</v>
          </cell>
          <cell r="W765">
            <v>540</v>
          </cell>
          <cell r="X765">
            <v>492</v>
          </cell>
          <cell r="Y765">
            <v>413</v>
          </cell>
          <cell r="Z765">
            <v>358</v>
          </cell>
          <cell r="AA765">
            <v>302</v>
          </cell>
          <cell r="AB765">
            <v>210</v>
          </cell>
          <cell r="AC765">
            <v>117</v>
          </cell>
        </row>
        <row r="766">
          <cell r="A766" t="str">
            <v>13-15-29</v>
          </cell>
          <cell r="B766">
            <v>1192</v>
          </cell>
          <cell r="C766">
            <v>1053</v>
          </cell>
          <cell r="D766">
            <v>864</v>
          </cell>
          <cell r="E766">
            <v>738</v>
          </cell>
          <cell r="F766">
            <v>612</v>
          </cell>
          <cell r="G766">
            <v>422</v>
          </cell>
          <cell r="H766">
            <v>232</v>
          </cell>
          <cell r="I766">
            <v>948</v>
          </cell>
          <cell r="J766">
            <v>824</v>
          </cell>
          <cell r="K766">
            <v>664</v>
          </cell>
          <cell r="L766">
            <v>563</v>
          </cell>
          <cell r="M766">
            <v>462</v>
          </cell>
          <cell r="N766">
            <v>317</v>
          </cell>
          <cell r="O766">
            <v>171</v>
          </cell>
          <cell r="P766">
            <v>894</v>
          </cell>
          <cell r="Q766">
            <v>806</v>
          </cell>
          <cell r="R766">
            <v>677</v>
          </cell>
          <cell r="S766">
            <v>587</v>
          </cell>
          <cell r="T766">
            <v>497</v>
          </cell>
          <cell r="U766">
            <v>350</v>
          </cell>
          <cell r="V766">
            <v>202</v>
          </cell>
          <cell r="W766">
            <v>711</v>
          </cell>
          <cell r="X766">
            <v>631</v>
          </cell>
          <cell r="Y766">
            <v>521</v>
          </cell>
          <cell r="Z766">
            <v>448</v>
          </cell>
          <cell r="AA766">
            <v>375</v>
          </cell>
          <cell r="AB766">
            <v>262</v>
          </cell>
          <cell r="AC766">
            <v>149</v>
          </cell>
        </row>
        <row r="767">
          <cell r="A767" t="str">
            <v>13-16-29</v>
          </cell>
          <cell r="B767">
            <v>1047</v>
          </cell>
          <cell r="C767">
            <v>923</v>
          </cell>
          <cell r="D767">
            <v>763</v>
          </cell>
          <cell r="E767">
            <v>654</v>
          </cell>
          <cell r="F767">
            <v>544</v>
          </cell>
          <cell r="G767">
            <v>375</v>
          </cell>
          <cell r="H767">
            <v>206</v>
          </cell>
          <cell r="I767">
            <v>907</v>
          </cell>
          <cell r="J767">
            <v>783</v>
          </cell>
          <cell r="K767">
            <v>633</v>
          </cell>
          <cell r="L767">
            <v>537</v>
          </cell>
          <cell r="M767">
            <v>441</v>
          </cell>
          <cell r="N767">
            <v>302</v>
          </cell>
          <cell r="O767">
            <v>163</v>
          </cell>
          <cell r="P767">
            <v>785</v>
          </cell>
          <cell r="Q767">
            <v>706</v>
          </cell>
          <cell r="R767">
            <v>597</v>
          </cell>
          <cell r="S767">
            <v>520</v>
          </cell>
          <cell r="T767">
            <v>442</v>
          </cell>
          <cell r="U767">
            <v>311</v>
          </cell>
          <cell r="V767">
            <v>180</v>
          </cell>
          <cell r="W767">
            <v>680</v>
          </cell>
          <cell r="X767">
            <v>599</v>
          </cell>
          <cell r="Y767">
            <v>495</v>
          </cell>
          <cell r="Z767">
            <v>427</v>
          </cell>
          <cell r="AA767">
            <v>358</v>
          </cell>
          <cell r="AB767">
            <v>250</v>
          </cell>
          <cell r="AC767">
            <v>142</v>
          </cell>
        </row>
        <row r="768">
          <cell r="A768" t="str">
            <v>13-17-29</v>
          </cell>
          <cell r="B768">
            <v>882</v>
          </cell>
          <cell r="C768">
            <v>784</v>
          </cell>
          <cell r="D768">
            <v>652</v>
          </cell>
          <cell r="E768">
            <v>560</v>
          </cell>
          <cell r="F768">
            <v>468</v>
          </cell>
          <cell r="G768">
            <v>323</v>
          </cell>
          <cell r="H768">
            <v>177</v>
          </cell>
          <cell r="I768">
            <v>855</v>
          </cell>
          <cell r="J768">
            <v>741</v>
          </cell>
          <cell r="K768">
            <v>600</v>
          </cell>
          <cell r="L768">
            <v>510</v>
          </cell>
          <cell r="M768">
            <v>419</v>
          </cell>
          <cell r="N768">
            <v>287</v>
          </cell>
          <cell r="O768">
            <v>154</v>
          </cell>
          <cell r="P768">
            <v>661</v>
          </cell>
          <cell r="Q768">
            <v>600</v>
          </cell>
          <cell r="R768">
            <v>511</v>
          </cell>
          <cell r="S768">
            <v>446</v>
          </cell>
          <cell r="T768">
            <v>380</v>
          </cell>
          <cell r="U768">
            <v>267</v>
          </cell>
          <cell r="V768">
            <v>154</v>
          </cell>
          <cell r="W768">
            <v>641</v>
          </cell>
          <cell r="X768">
            <v>567</v>
          </cell>
          <cell r="Y768">
            <v>470</v>
          </cell>
          <cell r="Z768">
            <v>405</v>
          </cell>
          <cell r="AA768">
            <v>340</v>
          </cell>
          <cell r="AB768">
            <v>237</v>
          </cell>
          <cell r="AC768">
            <v>134</v>
          </cell>
        </row>
        <row r="769">
          <cell r="A769" t="str">
            <v>13-18-29</v>
          </cell>
          <cell r="B769">
            <v>821</v>
          </cell>
          <cell r="C769">
            <v>726</v>
          </cell>
          <cell r="D769">
            <v>583</v>
          </cell>
          <cell r="E769">
            <v>495</v>
          </cell>
          <cell r="F769">
            <v>407</v>
          </cell>
          <cell r="G769">
            <v>279</v>
          </cell>
          <cell r="H769">
            <v>151</v>
          </cell>
          <cell r="I769">
            <v>821</v>
          </cell>
          <cell r="J769">
            <v>726</v>
          </cell>
          <cell r="K769">
            <v>583</v>
          </cell>
          <cell r="L769">
            <v>495</v>
          </cell>
          <cell r="M769">
            <v>407</v>
          </cell>
          <cell r="N769">
            <v>279</v>
          </cell>
          <cell r="O769">
            <v>151</v>
          </cell>
          <cell r="P769">
            <v>615</v>
          </cell>
          <cell r="Q769">
            <v>555</v>
          </cell>
          <cell r="R769">
            <v>456</v>
          </cell>
          <cell r="S769">
            <v>394</v>
          </cell>
          <cell r="T769">
            <v>331</v>
          </cell>
          <cell r="U769">
            <v>231</v>
          </cell>
          <cell r="V769">
            <v>131</v>
          </cell>
          <cell r="W769">
            <v>615</v>
          </cell>
          <cell r="X769">
            <v>555</v>
          </cell>
          <cell r="Y769">
            <v>456</v>
          </cell>
          <cell r="Z769">
            <v>394</v>
          </cell>
          <cell r="AA769">
            <v>331</v>
          </cell>
          <cell r="AB769">
            <v>231</v>
          </cell>
          <cell r="AC769">
            <v>131</v>
          </cell>
        </row>
        <row r="770">
          <cell r="A770" t="str">
            <v>13-19-29</v>
          </cell>
          <cell r="B770">
            <v>768</v>
          </cell>
          <cell r="C770">
            <v>682</v>
          </cell>
          <cell r="D770">
            <v>551</v>
          </cell>
          <cell r="E770">
            <v>469</v>
          </cell>
          <cell r="F770">
            <v>387</v>
          </cell>
          <cell r="G770">
            <v>265</v>
          </cell>
          <cell r="H770">
            <v>142</v>
          </cell>
          <cell r="I770">
            <v>768</v>
          </cell>
          <cell r="J770">
            <v>682</v>
          </cell>
          <cell r="K770">
            <v>551</v>
          </cell>
          <cell r="L770">
            <v>469</v>
          </cell>
          <cell r="M770">
            <v>387</v>
          </cell>
          <cell r="N770">
            <v>265</v>
          </cell>
          <cell r="O770">
            <v>142</v>
          </cell>
          <cell r="P770">
            <v>576</v>
          </cell>
          <cell r="Q770">
            <v>522</v>
          </cell>
          <cell r="R770">
            <v>432</v>
          </cell>
          <cell r="S770">
            <v>374</v>
          </cell>
          <cell r="T770">
            <v>315</v>
          </cell>
          <cell r="U770">
            <v>220</v>
          </cell>
          <cell r="V770">
            <v>124</v>
          </cell>
          <cell r="W770">
            <v>576</v>
          </cell>
          <cell r="X770">
            <v>522</v>
          </cell>
          <cell r="Y770">
            <v>432</v>
          </cell>
          <cell r="Z770">
            <v>374</v>
          </cell>
          <cell r="AA770">
            <v>315</v>
          </cell>
          <cell r="AB770">
            <v>220</v>
          </cell>
          <cell r="AC770">
            <v>124</v>
          </cell>
        </row>
        <row r="771">
          <cell r="A771" t="str">
            <v>13-20-29</v>
          </cell>
          <cell r="B771">
            <v>715</v>
          </cell>
          <cell r="C771">
            <v>638</v>
          </cell>
          <cell r="D771">
            <v>525</v>
          </cell>
          <cell r="E771">
            <v>446</v>
          </cell>
          <cell r="F771">
            <v>366</v>
          </cell>
          <cell r="G771">
            <v>251</v>
          </cell>
          <cell r="H771">
            <v>135</v>
          </cell>
          <cell r="I771">
            <v>715</v>
          </cell>
          <cell r="J771">
            <v>638</v>
          </cell>
          <cell r="K771">
            <v>525</v>
          </cell>
          <cell r="L771">
            <v>446</v>
          </cell>
          <cell r="M771">
            <v>366</v>
          </cell>
          <cell r="N771">
            <v>251</v>
          </cell>
          <cell r="O771">
            <v>135</v>
          </cell>
          <cell r="P771">
            <v>536</v>
          </cell>
          <cell r="Q771">
            <v>488</v>
          </cell>
          <cell r="R771">
            <v>411</v>
          </cell>
          <cell r="S771">
            <v>354</v>
          </cell>
          <cell r="T771">
            <v>297</v>
          </cell>
          <cell r="U771">
            <v>207</v>
          </cell>
          <cell r="V771">
            <v>117</v>
          </cell>
          <cell r="W771">
            <v>536</v>
          </cell>
          <cell r="X771">
            <v>488</v>
          </cell>
          <cell r="Y771">
            <v>411</v>
          </cell>
          <cell r="Z771">
            <v>354</v>
          </cell>
          <cell r="AA771">
            <v>297</v>
          </cell>
          <cell r="AB771">
            <v>207</v>
          </cell>
          <cell r="AC771">
            <v>117</v>
          </cell>
        </row>
        <row r="772">
          <cell r="A772" t="str">
            <v>13-21-29</v>
          </cell>
          <cell r="B772">
            <v>657</v>
          </cell>
          <cell r="C772">
            <v>588</v>
          </cell>
          <cell r="D772">
            <v>485</v>
          </cell>
          <cell r="E772">
            <v>414</v>
          </cell>
          <cell r="F772">
            <v>343</v>
          </cell>
          <cell r="G772">
            <v>234</v>
          </cell>
          <cell r="H772">
            <v>124</v>
          </cell>
          <cell r="I772">
            <v>657</v>
          </cell>
          <cell r="J772">
            <v>588</v>
          </cell>
          <cell r="K772">
            <v>485</v>
          </cell>
          <cell r="L772">
            <v>414</v>
          </cell>
          <cell r="M772">
            <v>343</v>
          </cell>
          <cell r="N772">
            <v>234</v>
          </cell>
          <cell r="O772">
            <v>124</v>
          </cell>
          <cell r="P772">
            <v>492</v>
          </cell>
          <cell r="Q772">
            <v>450</v>
          </cell>
          <cell r="R772">
            <v>379</v>
          </cell>
          <cell r="S772">
            <v>329</v>
          </cell>
          <cell r="T772">
            <v>279</v>
          </cell>
          <cell r="U772">
            <v>194</v>
          </cell>
          <cell r="V772">
            <v>108</v>
          </cell>
          <cell r="W772">
            <v>492</v>
          </cell>
          <cell r="X772">
            <v>450</v>
          </cell>
          <cell r="Y772">
            <v>379</v>
          </cell>
          <cell r="Z772">
            <v>329</v>
          </cell>
          <cell r="AA772">
            <v>279</v>
          </cell>
          <cell r="AB772">
            <v>194</v>
          </cell>
          <cell r="AC772">
            <v>108</v>
          </cell>
        </row>
        <row r="773">
          <cell r="A773" t="str">
            <v>14-16-29</v>
          </cell>
          <cell r="B773">
            <v>1035</v>
          </cell>
          <cell r="C773">
            <v>912</v>
          </cell>
          <cell r="D773">
            <v>751</v>
          </cell>
          <cell r="E773">
            <v>643</v>
          </cell>
          <cell r="F773">
            <v>534</v>
          </cell>
          <cell r="G773">
            <v>368</v>
          </cell>
          <cell r="H773">
            <v>202</v>
          </cell>
          <cell r="I773">
            <v>903</v>
          </cell>
          <cell r="J773">
            <v>780</v>
          </cell>
          <cell r="K773">
            <v>629</v>
          </cell>
          <cell r="L773">
            <v>533</v>
          </cell>
          <cell r="M773">
            <v>437</v>
          </cell>
          <cell r="N773">
            <v>299</v>
          </cell>
          <cell r="O773">
            <v>161</v>
          </cell>
          <cell r="P773">
            <v>776</v>
          </cell>
          <cell r="Q773">
            <v>698</v>
          </cell>
          <cell r="R773">
            <v>588</v>
          </cell>
          <cell r="S773">
            <v>511</v>
          </cell>
          <cell r="T773">
            <v>434</v>
          </cell>
          <cell r="U773">
            <v>305</v>
          </cell>
          <cell r="V773">
            <v>176</v>
          </cell>
          <cell r="W773">
            <v>677</v>
          </cell>
          <cell r="X773">
            <v>597</v>
          </cell>
          <cell r="Y773">
            <v>493</v>
          </cell>
          <cell r="Z773">
            <v>425</v>
          </cell>
          <cell r="AA773">
            <v>356</v>
          </cell>
          <cell r="AB773">
            <v>249</v>
          </cell>
          <cell r="AC773">
            <v>141</v>
          </cell>
        </row>
        <row r="774">
          <cell r="A774" t="str">
            <v>14-17-29</v>
          </cell>
          <cell r="B774">
            <v>874</v>
          </cell>
          <cell r="C774">
            <v>775</v>
          </cell>
          <cell r="D774">
            <v>644</v>
          </cell>
          <cell r="E774">
            <v>553</v>
          </cell>
          <cell r="F774">
            <v>461</v>
          </cell>
          <cell r="G774">
            <v>318</v>
          </cell>
          <cell r="H774">
            <v>175</v>
          </cell>
          <cell r="I774">
            <v>854</v>
          </cell>
          <cell r="J774">
            <v>739</v>
          </cell>
          <cell r="K774">
            <v>598</v>
          </cell>
          <cell r="L774">
            <v>507</v>
          </cell>
          <cell r="M774">
            <v>416</v>
          </cell>
          <cell r="N774">
            <v>285</v>
          </cell>
          <cell r="O774">
            <v>153</v>
          </cell>
          <cell r="P774">
            <v>655</v>
          </cell>
          <cell r="Q774">
            <v>593</v>
          </cell>
          <cell r="R774">
            <v>504</v>
          </cell>
          <cell r="S774">
            <v>440</v>
          </cell>
          <cell r="T774">
            <v>375</v>
          </cell>
          <cell r="U774">
            <v>264</v>
          </cell>
          <cell r="V774">
            <v>152</v>
          </cell>
          <cell r="W774">
            <v>640</v>
          </cell>
          <cell r="X774">
            <v>565</v>
          </cell>
          <cell r="Y774">
            <v>468</v>
          </cell>
          <cell r="Z774">
            <v>403</v>
          </cell>
          <cell r="AA774">
            <v>338</v>
          </cell>
          <cell r="AB774">
            <v>236</v>
          </cell>
          <cell r="AC774">
            <v>133</v>
          </cell>
        </row>
        <row r="775">
          <cell r="A775" t="str">
            <v>14-18-29</v>
          </cell>
          <cell r="B775">
            <v>812</v>
          </cell>
          <cell r="C775">
            <v>718</v>
          </cell>
          <cell r="D775">
            <v>577</v>
          </cell>
          <cell r="E775">
            <v>490</v>
          </cell>
          <cell r="F775">
            <v>402</v>
          </cell>
          <cell r="G775">
            <v>275</v>
          </cell>
          <cell r="H775">
            <v>148</v>
          </cell>
          <cell r="I775">
            <v>812</v>
          </cell>
          <cell r="J775">
            <v>718</v>
          </cell>
          <cell r="K775">
            <v>577</v>
          </cell>
          <cell r="L775">
            <v>490</v>
          </cell>
          <cell r="M775">
            <v>402</v>
          </cell>
          <cell r="N775">
            <v>275</v>
          </cell>
          <cell r="O775">
            <v>148</v>
          </cell>
          <cell r="P775">
            <v>609</v>
          </cell>
          <cell r="Q775">
            <v>549</v>
          </cell>
          <cell r="R775">
            <v>452</v>
          </cell>
          <cell r="S775">
            <v>390</v>
          </cell>
          <cell r="T775">
            <v>327</v>
          </cell>
          <cell r="U775">
            <v>228</v>
          </cell>
          <cell r="V775">
            <v>129</v>
          </cell>
          <cell r="W775">
            <v>609</v>
          </cell>
          <cell r="X775">
            <v>549</v>
          </cell>
          <cell r="Y775">
            <v>452</v>
          </cell>
          <cell r="Z775">
            <v>390</v>
          </cell>
          <cell r="AA775">
            <v>327</v>
          </cell>
          <cell r="AB775">
            <v>228</v>
          </cell>
          <cell r="AC775">
            <v>129</v>
          </cell>
        </row>
        <row r="776">
          <cell r="A776" t="str">
            <v>14-19-29</v>
          </cell>
          <cell r="B776">
            <v>760</v>
          </cell>
          <cell r="C776">
            <v>675</v>
          </cell>
          <cell r="D776">
            <v>545</v>
          </cell>
          <cell r="E776">
            <v>464</v>
          </cell>
          <cell r="F776">
            <v>382</v>
          </cell>
          <cell r="G776">
            <v>262</v>
          </cell>
          <cell r="H776">
            <v>141</v>
          </cell>
          <cell r="I776">
            <v>760</v>
          </cell>
          <cell r="J776">
            <v>675</v>
          </cell>
          <cell r="K776">
            <v>545</v>
          </cell>
          <cell r="L776">
            <v>464</v>
          </cell>
          <cell r="M776">
            <v>382</v>
          </cell>
          <cell r="N776">
            <v>262</v>
          </cell>
          <cell r="O776">
            <v>141</v>
          </cell>
          <cell r="P776">
            <v>570</v>
          </cell>
          <cell r="Q776">
            <v>516</v>
          </cell>
          <cell r="R776">
            <v>427</v>
          </cell>
          <cell r="S776">
            <v>369</v>
          </cell>
          <cell r="T776">
            <v>311</v>
          </cell>
          <cell r="U776">
            <v>217</v>
          </cell>
          <cell r="V776">
            <v>122</v>
          </cell>
          <cell r="W776">
            <v>570</v>
          </cell>
          <cell r="X776">
            <v>516</v>
          </cell>
          <cell r="Y776">
            <v>427</v>
          </cell>
          <cell r="Z776">
            <v>369</v>
          </cell>
          <cell r="AA776">
            <v>311</v>
          </cell>
          <cell r="AB776">
            <v>217</v>
          </cell>
          <cell r="AC776">
            <v>122</v>
          </cell>
        </row>
        <row r="777">
          <cell r="A777" t="str">
            <v>14-20-29</v>
          </cell>
          <cell r="B777">
            <v>707</v>
          </cell>
          <cell r="C777">
            <v>630</v>
          </cell>
          <cell r="D777">
            <v>517</v>
          </cell>
          <cell r="E777">
            <v>439</v>
          </cell>
          <cell r="F777">
            <v>361</v>
          </cell>
          <cell r="G777">
            <v>248</v>
          </cell>
          <cell r="H777">
            <v>135</v>
          </cell>
          <cell r="I777">
            <v>707</v>
          </cell>
          <cell r="J777">
            <v>630</v>
          </cell>
          <cell r="K777">
            <v>517</v>
          </cell>
          <cell r="L777">
            <v>439</v>
          </cell>
          <cell r="M777">
            <v>361</v>
          </cell>
          <cell r="N777">
            <v>248</v>
          </cell>
          <cell r="O777">
            <v>135</v>
          </cell>
          <cell r="P777">
            <v>530</v>
          </cell>
          <cell r="Q777">
            <v>482</v>
          </cell>
          <cell r="R777">
            <v>405</v>
          </cell>
          <cell r="S777">
            <v>349</v>
          </cell>
          <cell r="T777">
            <v>293</v>
          </cell>
          <cell r="U777">
            <v>205</v>
          </cell>
          <cell r="V777">
            <v>117</v>
          </cell>
          <cell r="W777">
            <v>530</v>
          </cell>
          <cell r="X777">
            <v>482</v>
          </cell>
          <cell r="Y777">
            <v>405</v>
          </cell>
          <cell r="Z777">
            <v>349</v>
          </cell>
          <cell r="AA777">
            <v>293</v>
          </cell>
          <cell r="AB777">
            <v>205</v>
          </cell>
          <cell r="AC777">
            <v>117</v>
          </cell>
        </row>
        <row r="778">
          <cell r="A778" t="str">
            <v>14-21-29</v>
          </cell>
          <cell r="B778">
            <v>652</v>
          </cell>
          <cell r="C778">
            <v>583</v>
          </cell>
          <cell r="D778">
            <v>482</v>
          </cell>
          <cell r="E778">
            <v>412</v>
          </cell>
          <cell r="F778">
            <v>342</v>
          </cell>
          <cell r="G778">
            <v>233</v>
          </cell>
          <cell r="H778">
            <v>124</v>
          </cell>
          <cell r="I778">
            <v>652</v>
          </cell>
          <cell r="J778">
            <v>583</v>
          </cell>
          <cell r="K778">
            <v>482</v>
          </cell>
          <cell r="L778">
            <v>412</v>
          </cell>
          <cell r="M778">
            <v>342</v>
          </cell>
          <cell r="N778">
            <v>233</v>
          </cell>
          <cell r="O778">
            <v>124</v>
          </cell>
          <cell r="P778">
            <v>489</v>
          </cell>
          <cell r="Q778">
            <v>446</v>
          </cell>
          <cell r="R778">
            <v>377</v>
          </cell>
          <cell r="S778">
            <v>328</v>
          </cell>
          <cell r="T778">
            <v>278</v>
          </cell>
          <cell r="U778">
            <v>193</v>
          </cell>
          <cell r="V778">
            <v>108</v>
          </cell>
          <cell r="W778">
            <v>489</v>
          </cell>
          <cell r="X778">
            <v>446</v>
          </cell>
          <cell r="Y778">
            <v>377</v>
          </cell>
          <cell r="Z778">
            <v>328</v>
          </cell>
          <cell r="AA778">
            <v>278</v>
          </cell>
          <cell r="AB778">
            <v>193</v>
          </cell>
          <cell r="AC778">
            <v>108</v>
          </cell>
        </row>
        <row r="779">
          <cell r="A779" t="str">
            <v>14-22-29</v>
          </cell>
          <cell r="B779">
            <v>592</v>
          </cell>
          <cell r="C779">
            <v>532</v>
          </cell>
          <cell r="D779">
            <v>441</v>
          </cell>
          <cell r="E779">
            <v>377</v>
          </cell>
          <cell r="F779">
            <v>313</v>
          </cell>
          <cell r="G779">
            <v>213</v>
          </cell>
          <cell r="H779">
            <v>112</v>
          </cell>
          <cell r="I779">
            <v>592</v>
          </cell>
          <cell r="J779">
            <v>532</v>
          </cell>
          <cell r="K779">
            <v>441</v>
          </cell>
          <cell r="L779">
            <v>377</v>
          </cell>
          <cell r="M779">
            <v>313</v>
          </cell>
          <cell r="N779">
            <v>213</v>
          </cell>
          <cell r="O779">
            <v>112</v>
          </cell>
          <cell r="P779">
            <v>444</v>
          </cell>
          <cell r="Q779">
            <v>407</v>
          </cell>
          <cell r="R779">
            <v>345</v>
          </cell>
          <cell r="S779">
            <v>300</v>
          </cell>
          <cell r="T779">
            <v>255</v>
          </cell>
          <cell r="U779">
            <v>177</v>
          </cell>
          <cell r="V779">
            <v>98</v>
          </cell>
          <cell r="W779">
            <v>444</v>
          </cell>
          <cell r="X779">
            <v>407</v>
          </cell>
          <cell r="Y779">
            <v>345</v>
          </cell>
          <cell r="Z779">
            <v>300</v>
          </cell>
          <cell r="AA779">
            <v>255</v>
          </cell>
          <cell r="AB779">
            <v>177</v>
          </cell>
          <cell r="AC779">
            <v>98</v>
          </cell>
        </row>
        <row r="780">
          <cell r="A780" t="str">
            <v>15-17-29</v>
          </cell>
          <cell r="B780">
            <v>860</v>
          </cell>
          <cell r="C780">
            <v>761</v>
          </cell>
          <cell r="D780">
            <v>630</v>
          </cell>
          <cell r="E780">
            <v>541</v>
          </cell>
          <cell r="F780">
            <v>451</v>
          </cell>
          <cell r="G780">
            <v>311</v>
          </cell>
          <cell r="H780">
            <v>170</v>
          </cell>
          <cell r="I780">
            <v>847</v>
          </cell>
          <cell r="J780">
            <v>734</v>
          </cell>
          <cell r="K780">
            <v>594</v>
          </cell>
          <cell r="L780">
            <v>504</v>
          </cell>
          <cell r="M780">
            <v>413</v>
          </cell>
          <cell r="N780">
            <v>283</v>
          </cell>
          <cell r="O780">
            <v>152</v>
          </cell>
          <cell r="P780">
            <v>644</v>
          </cell>
          <cell r="Q780">
            <v>582</v>
          </cell>
          <cell r="R780">
            <v>494</v>
          </cell>
          <cell r="S780">
            <v>431</v>
          </cell>
          <cell r="T780">
            <v>367</v>
          </cell>
          <cell r="U780">
            <v>258</v>
          </cell>
          <cell r="V780">
            <v>148</v>
          </cell>
          <cell r="W780">
            <v>634</v>
          </cell>
          <cell r="X780">
            <v>561</v>
          </cell>
          <cell r="Y780">
            <v>465</v>
          </cell>
          <cell r="Z780">
            <v>401</v>
          </cell>
          <cell r="AA780">
            <v>336</v>
          </cell>
          <cell r="AB780">
            <v>234</v>
          </cell>
          <cell r="AC780">
            <v>132</v>
          </cell>
        </row>
        <row r="781">
          <cell r="A781" t="str">
            <v>15-18-29</v>
          </cell>
          <cell r="B781">
            <v>803</v>
          </cell>
          <cell r="C781">
            <v>710</v>
          </cell>
          <cell r="D781">
            <v>569</v>
          </cell>
          <cell r="E781">
            <v>483</v>
          </cell>
          <cell r="F781">
            <v>397</v>
          </cell>
          <cell r="G781">
            <v>272</v>
          </cell>
          <cell r="H781">
            <v>146</v>
          </cell>
          <cell r="I781">
            <v>803</v>
          </cell>
          <cell r="J781">
            <v>710</v>
          </cell>
          <cell r="K781">
            <v>569</v>
          </cell>
          <cell r="L781">
            <v>483</v>
          </cell>
          <cell r="M781">
            <v>397</v>
          </cell>
          <cell r="N781">
            <v>272</v>
          </cell>
          <cell r="O781">
            <v>146</v>
          </cell>
          <cell r="P781">
            <v>602</v>
          </cell>
          <cell r="Q781">
            <v>543</v>
          </cell>
          <cell r="R781">
            <v>446</v>
          </cell>
          <cell r="S781">
            <v>385</v>
          </cell>
          <cell r="T781">
            <v>323</v>
          </cell>
          <cell r="U781">
            <v>225</v>
          </cell>
          <cell r="V781">
            <v>127</v>
          </cell>
          <cell r="W781">
            <v>602</v>
          </cell>
          <cell r="X781">
            <v>543</v>
          </cell>
          <cell r="Y781">
            <v>446</v>
          </cell>
          <cell r="Z781">
            <v>385</v>
          </cell>
          <cell r="AA781">
            <v>323</v>
          </cell>
          <cell r="AB781">
            <v>225</v>
          </cell>
          <cell r="AC781">
            <v>127</v>
          </cell>
        </row>
        <row r="782">
          <cell r="A782" t="str">
            <v>15-19-29</v>
          </cell>
          <cell r="B782">
            <v>752</v>
          </cell>
          <cell r="C782">
            <v>667</v>
          </cell>
          <cell r="D782">
            <v>538</v>
          </cell>
          <cell r="E782">
            <v>458</v>
          </cell>
          <cell r="F782">
            <v>377</v>
          </cell>
          <cell r="G782">
            <v>258</v>
          </cell>
          <cell r="H782">
            <v>138</v>
          </cell>
          <cell r="I782">
            <v>752</v>
          </cell>
          <cell r="J782">
            <v>667</v>
          </cell>
          <cell r="K782">
            <v>538</v>
          </cell>
          <cell r="L782">
            <v>458</v>
          </cell>
          <cell r="M782">
            <v>377</v>
          </cell>
          <cell r="N782">
            <v>258</v>
          </cell>
          <cell r="O782">
            <v>138</v>
          </cell>
          <cell r="P782">
            <v>563</v>
          </cell>
          <cell r="Q782">
            <v>510</v>
          </cell>
          <cell r="R782">
            <v>421</v>
          </cell>
          <cell r="S782">
            <v>364</v>
          </cell>
          <cell r="T782">
            <v>307</v>
          </cell>
          <cell r="U782">
            <v>214</v>
          </cell>
          <cell r="V782">
            <v>120</v>
          </cell>
          <cell r="W782">
            <v>563</v>
          </cell>
          <cell r="X782">
            <v>510</v>
          </cell>
          <cell r="Y782">
            <v>421</v>
          </cell>
          <cell r="Z782">
            <v>364</v>
          </cell>
          <cell r="AA782">
            <v>307</v>
          </cell>
          <cell r="AB782">
            <v>214</v>
          </cell>
          <cell r="AC782">
            <v>120</v>
          </cell>
        </row>
        <row r="783">
          <cell r="A783" t="str">
            <v>15-20-29</v>
          </cell>
          <cell r="B783">
            <v>699</v>
          </cell>
          <cell r="C783">
            <v>622</v>
          </cell>
          <cell r="D783">
            <v>511</v>
          </cell>
          <cell r="E783">
            <v>434</v>
          </cell>
          <cell r="F783">
            <v>357</v>
          </cell>
          <cell r="G783">
            <v>245</v>
          </cell>
          <cell r="H783">
            <v>132</v>
          </cell>
          <cell r="I783">
            <v>699</v>
          </cell>
          <cell r="J783">
            <v>622</v>
          </cell>
          <cell r="K783">
            <v>511</v>
          </cell>
          <cell r="L783">
            <v>434</v>
          </cell>
          <cell r="M783">
            <v>357</v>
          </cell>
          <cell r="N783">
            <v>245</v>
          </cell>
          <cell r="O783">
            <v>132</v>
          </cell>
          <cell r="P783">
            <v>524</v>
          </cell>
          <cell r="Q783">
            <v>476</v>
          </cell>
          <cell r="R783">
            <v>400</v>
          </cell>
          <cell r="S783">
            <v>345</v>
          </cell>
          <cell r="T783">
            <v>290</v>
          </cell>
          <cell r="U783">
            <v>203</v>
          </cell>
          <cell r="V783">
            <v>115</v>
          </cell>
          <cell r="W783">
            <v>524</v>
          </cell>
          <cell r="X783">
            <v>476</v>
          </cell>
          <cell r="Y783">
            <v>400</v>
          </cell>
          <cell r="Z783">
            <v>345</v>
          </cell>
          <cell r="AA783">
            <v>290</v>
          </cell>
          <cell r="AB783">
            <v>203</v>
          </cell>
          <cell r="AC783">
            <v>115</v>
          </cell>
        </row>
        <row r="784">
          <cell r="A784" t="str">
            <v>15-21-29</v>
          </cell>
          <cell r="B784">
            <v>645</v>
          </cell>
          <cell r="C784">
            <v>576</v>
          </cell>
          <cell r="D784">
            <v>476</v>
          </cell>
          <cell r="E784">
            <v>408</v>
          </cell>
          <cell r="F784">
            <v>339</v>
          </cell>
          <cell r="G784">
            <v>232</v>
          </cell>
          <cell r="H784">
            <v>124</v>
          </cell>
          <cell r="I784">
            <v>645</v>
          </cell>
          <cell r="J784">
            <v>576</v>
          </cell>
          <cell r="K784">
            <v>476</v>
          </cell>
          <cell r="L784">
            <v>408</v>
          </cell>
          <cell r="M784">
            <v>339</v>
          </cell>
          <cell r="N784">
            <v>232</v>
          </cell>
          <cell r="O784">
            <v>124</v>
          </cell>
          <cell r="P784">
            <v>483</v>
          </cell>
          <cell r="Q784">
            <v>441</v>
          </cell>
          <cell r="R784">
            <v>372</v>
          </cell>
          <cell r="S784">
            <v>324</v>
          </cell>
          <cell r="T784">
            <v>275</v>
          </cell>
          <cell r="U784">
            <v>192</v>
          </cell>
          <cell r="V784">
            <v>108</v>
          </cell>
          <cell r="W784">
            <v>483</v>
          </cell>
          <cell r="X784">
            <v>441</v>
          </cell>
          <cell r="Y784">
            <v>372</v>
          </cell>
          <cell r="Z784">
            <v>324</v>
          </cell>
          <cell r="AA784">
            <v>275</v>
          </cell>
          <cell r="AB784">
            <v>192</v>
          </cell>
          <cell r="AC784">
            <v>108</v>
          </cell>
        </row>
        <row r="785">
          <cell r="A785" t="str">
            <v>15-22-29</v>
          </cell>
          <cell r="B785">
            <v>586</v>
          </cell>
          <cell r="C785">
            <v>526</v>
          </cell>
          <cell r="D785">
            <v>437</v>
          </cell>
          <cell r="E785">
            <v>375</v>
          </cell>
          <cell r="F785">
            <v>312</v>
          </cell>
          <cell r="G785">
            <v>213</v>
          </cell>
          <cell r="H785">
            <v>113</v>
          </cell>
          <cell r="I785">
            <v>586</v>
          </cell>
          <cell r="J785">
            <v>526</v>
          </cell>
          <cell r="K785">
            <v>437</v>
          </cell>
          <cell r="L785">
            <v>375</v>
          </cell>
          <cell r="M785">
            <v>312</v>
          </cell>
          <cell r="N785">
            <v>213</v>
          </cell>
          <cell r="O785">
            <v>113</v>
          </cell>
          <cell r="P785">
            <v>440</v>
          </cell>
          <cell r="Q785">
            <v>403</v>
          </cell>
          <cell r="R785">
            <v>342</v>
          </cell>
          <cell r="S785">
            <v>298</v>
          </cell>
          <cell r="T785">
            <v>253</v>
          </cell>
          <cell r="U785">
            <v>176</v>
          </cell>
          <cell r="V785">
            <v>99</v>
          </cell>
          <cell r="W785">
            <v>440</v>
          </cell>
          <cell r="X785">
            <v>403</v>
          </cell>
          <cell r="Y785">
            <v>342</v>
          </cell>
          <cell r="Z785">
            <v>298</v>
          </cell>
          <cell r="AA785">
            <v>253</v>
          </cell>
          <cell r="AB785">
            <v>176</v>
          </cell>
          <cell r="AC785">
            <v>99</v>
          </cell>
        </row>
        <row r="786">
          <cell r="A786" t="str">
            <v>15-23-29</v>
          </cell>
          <cell r="B786">
            <v>523</v>
          </cell>
          <cell r="C786">
            <v>473</v>
          </cell>
          <cell r="D786">
            <v>394</v>
          </cell>
          <cell r="E786">
            <v>338</v>
          </cell>
          <cell r="F786">
            <v>282</v>
          </cell>
          <cell r="G786">
            <v>192</v>
          </cell>
          <cell r="H786">
            <v>102</v>
          </cell>
          <cell r="I786">
            <v>523</v>
          </cell>
          <cell r="J786">
            <v>473</v>
          </cell>
          <cell r="K786">
            <v>394</v>
          </cell>
          <cell r="L786">
            <v>338</v>
          </cell>
          <cell r="M786">
            <v>282</v>
          </cell>
          <cell r="N786">
            <v>192</v>
          </cell>
          <cell r="O786">
            <v>102</v>
          </cell>
          <cell r="P786">
            <v>392</v>
          </cell>
          <cell r="Q786">
            <v>362</v>
          </cell>
          <cell r="R786">
            <v>309</v>
          </cell>
          <cell r="S786">
            <v>269</v>
          </cell>
          <cell r="T786">
            <v>229</v>
          </cell>
          <cell r="U786">
            <v>159</v>
          </cell>
          <cell r="V786">
            <v>88</v>
          </cell>
          <cell r="W786">
            <v>392</v>
          </cell>
          <cell r="X786">
            <v>362</v>
          </cell>
          <cell r="Y786">
            <v>309</v>
          </cell>
          <cell r="Z786">
            <v>269</v>
          </cell>
          <cell r="AA786">
            <v>229</v>
          </cell>
          <cell r="AB786">
            <v>159</v>
          </cell>
          <cell r="AC786">
            <v>88</v>
          </cell>
        </row>
        <row r="787">
          <cell r="A787" t="str">
            <v>16-18-29</v>
          </cell>
          <cell r="B787">
            <v>794</v>
          </cell>
          <cell r="C787">
            <v>701</v>
          </cell>
          <cell r="D787">
            <v>564</v>
          </cell>
          <cell r="E787">
            <v>478</v>
          </cell>
          <cell r="F787">
            <v>392</v>
          </cell>
          <cell r="G787">
            <v>268</v>
          </cell>
          <cell r="H787">
            <v>143</v>
          </cell>
          <cell r="I787">
            <v>794</v>
          </cell>
          <cell r="J787">
            <v>701</v>
          </cell>
          <cell r="K787">
            <v>564</v>
          </cell>
          <cell r="L787">
            <v>478</v>
          </cell>
          <cell r="M787">
            <v>392</v>
          </cell>
          <cell r="N787">
            <v>268</v>
          </cell>
          <cell r="O787">
            <v>143</v>
          </cell>
          <cell r="P787">
            <v>595</v>
          </cell>
          <cell r="Q787">
            <v>536</v>
          </cell>
          <cell r="R787">
            <v>441</v>
          </cell>
          <cell r="S787">
            <v>380</v>
          </cell>
          <cell r="T787">
            <v>319</v>
          </cell>
          <cell r="U787">
            <v>222</v>
          </cell>
          <cell r="V787">
            <v>125</v>
          </cell>
          <cell r="W787">
            <v>595</v>
          </cell>
          <cell r="X787">
            <v>536</v>
          </cell>
          <cell r="Y787">
            <v>441</v>
          </cell>
          <cell r="Z787">
            <v>380</v>
          </cell>
          <cell r="AA787">
            <v>319</v>
          </cell>
          <cell r="AB787">
            <v>222</v>
          </cell>
          <cell r="AC787">
            <v>125</v>
          </cell>
        </row>
        <row r="788">
          <cell r="A788" t="str">
            <v>16-19-29</v>
          </cell>
          <cell r="B788">
            <v>742</v>
          </cell>
          <cell r="C788">
            <v>657</v>
          </cell>
          <cell r="D788">
            <v>537</v>
          </cell>
          <cell r="E788">
            <v>455</v>
          </cell>
          <cell r="F788">
            <v>372</v>
          </cell>
          <cell r="G788">
            <v>255</v>
          </cell>
          <cell r="H788">
            <v>137</v>
          </cell>
          <cell r="I788">
            <v>742</v>
          </cell>
          <cell r="J788">
            <v>657</v>
          </cell>
          <cell r="K788">
            <v>537</v>
          </cell>
          <cell r="L788">
            <v>455</v>
          </cell>
          <cell r="M788">
            <v>372</v>
          </cell>
          <cell r="N788">
            <v>255</v>
          </cell>
          <cell r="O788">
            <v>137</v>
          </cell>
          <cell r="P788">
            <v>556</v>
          </cell>
          <cell r="Q788">
            <v>503</v>
          </cell>
          <cell r="R788">
            <v>420</v>
          </cell>
          <cell r="S788">
            <v>361</v>
          </cell>
          <cell r="T788">
            <v>302</v>
          </cell>
          <cell r="U788">
            <v>211</v>
          </cell>
          <cell r="V788">
            <v>119</v>
          </cell>
          <cell r="W788">
            <v>556</v>
          </cell>
          <cell r="X788">
            <v>503</v>
          </cell>
          <cell r="Y788">
            <v>420</v>
          </cell>
          <cell r="Z788">
            <v>361</v>
          </cell>
          <cell r="AA788">
            <v>302</v>
          </cell>
          <cell r="AB788">
            <v>211</v>
          </cell>
          <cell r="AC788">
            <v>119</v>
          </cell>
        </row>
        <row r="789">
          <cell r="A789" t="str">
            <v>16-20-29</v>
          </cell>
          <cell r="B789">
            <v>689</v>
          </cell>
          <cell r="C789">
            <v>614</v>
          </cell>
          <cell r="D789">
            <v>504</v>
          </cell>
          <cell r="E789">
            <v>428</v>
          </cell>
          <cell r="F789">
            <v>351</v>
          </cell>
          <cell r="G789">
            <v>240</v>
          </cell>
          <cell r="H789">
            <v>129</v>
          </cell>
          <cell r="I789">
            <v>689</v>
          </cell>
          <cell r="J789">
            <v>614</v>
          </cell>
          <cell r="K789">
            <v>504</v>
          </cell>
          <cell r="L789">
            <v>428</v>
          </cell>
          <cell r="M789">
            <v>351</v>
          </cell>
          <cell r="N789">
            <v>240</v>
          </cell>
          <cell r="O789">
            <v>129</v>
          </cell>
          <cell r="P789">
            <v>517</v>
          </cell>
          <cell r="Q789">
            <v>470</v>
          </cell>
          <cell r="R789">
            <v>394</v>
          </cell>
          <cell r="S789">
            <v>340</v>
          </cell>
          <cell r="T789">
            <v>285</v>
          </cell>
          <cell r="U789">
            <v>199</v>
          </cell>
          <cell r="V789">
            <v>112</v>
          </cell>
          <cell r="W789">
            <v>517</v>
          </cell>
          <cell r="X789">
            <v>470</v>
          </cell>
          <cell r="Y789">
            <v>394</v>
          </cell>
          <cell r="Z789">
            <v>340</v>
          </cell>
          <cell r="AA789">
            <v>285</v>
          </cell>
          <cell r="AB789">
            <v>199</v>
          </cell>
          <cell r="AC789">
            <v>112</v>
          </cell>
        </row>
        <row r="790">
          <cell r="A790" t="str">
            <v>16-21-29</v>
          </cell>
          <cell r="B790">
            <v>636</v>
          </cell>
          <cell r="C790">
            <v>569</v>
          </cell>
          <cell r="D790">
            <v>468</v>
          </cell>
          <cell r="E790">
            <v>401</v>
          </cell>
          <cell r="F790">
            <v>333</v>
          </cell>
          <cell r="G790">
            <v>228</v>
          </cell>
          <cell r="H790">
            <v>122</v>
          </cell>
          <cell r="I790">
            <v>636</v>
          </cell>
          <cell r="J790">
            <v>569</v>
          </cell>
          <cell r="K790">
            <v>468</v>
          </cell>
          <cell r="L790">
            <v>401</v>
          </cell>
          <cell r="M790">
            <v>333</v>
          </cell>
          <cell r="N790">
            <v>228</v>
          </cell>
          <cell r="O790">
            <v>122</v>
          </cell>
          <cell r="P790">
            <v>477</v>
          </cell>
          <cell r="Q790">
            <v>435</v>
          </cell>
          <cell r="R790">
            <v>367</v>
          </cell>
          <cell r="S790">
            <v>319</v>
          </cell>
          <cell r="T790">
            <v>271</v>
          </cell>
          <cell r="U790">
            <v>189</v>
          </cell>
          <cell r="V790">
            <v>107</v>
          </cell>
          <cell r="W790">
            <v>477</v>
          </cell>
          <cell r="X790">
            <v>435</v>
          </cell>
          <cell r="Y790">
            <v>367</v>
          </cell>
          <cell r="Z790">
            <v>319</v>
          </cell>
          <cell r="AA790">
            <v>271</v>
          </cell>
          <cell r="AB790">
            <v>189</v>
          </cell>
          <cell r="AC790">
            <v>107</v>
          </cell>
        </row>
        <row r="791">
          <cell r="A791" t="str">
            <v>16-22-29</v>
          </cell>
          <cell r="B791">
            <v>580</v>
          </cell>
          <cell r="C791">
            <v>522</v>
          </cell>
          <cell r="D791">
            <v>432</v>
          </cell>
          <cell r="E791">
            <v>371</v>
          </cell>
          <cell r="F791">
            <v>310</v>
          </cell>
          <cell r="G791">
            <v>212</v>
          </cell>
          <cell r="H791">
            <v>113</v>
          </cell>
          <cell r="I791">
            <v>580</v>
          </cell>
          <cell r="J791">
            <v>522</v>
          </cell>
          <cell r="K791">
            <v>432</v>
          </cell>
          <cell r="L791">
            <v>371</v>
          </cell>
          <cell r="M791">
            <v>310</v>
          </cell>
          <cell r="N791">
            <v>212</v>
          </cell>
          <cell r="O791">
            <v>113</v>
          </cell>
          <cell r="P791">
            <v>435</v>
          </cell>
          <cell r="Q791">
            <v>399</v>
          </cell>
          <cell r="R791">
            <v>338</v>
          </cell>
          <cell r="S791">
            <v>295</v>
          </cell>
          <cell r="T791">
            <v>252</v>
          </cell>
          <cell r="U791">
            <v>176</v>
          </cell>
          <cell r="V791">
            <v>99</v>
          </cell>
          <cell r="W791">
            <v>435</v>
          </cell>
          <cell r="X791">
            <v>399</v>
          </cell>
          <cell r="Y791">
            <v>338</v>
          </cell>
          <cell r="Z791">
            <v>295</v>
          </cell>
          <cell r="AA791">
            <v>252</v>
          </cell>
          <cell r="AB791">
            <v>176</v>
          </cell>
          <cell r="AC791">
            <v>99</v>
          </cell>
        </row>
        <row r="792">
          <cell r="A792" t="str">
            <v>16-23-29</v>
          </cell>
          <cell r="B792">
            <v>519</v>
          </cell>
          <cell r="C792">
            <v>468</v>
          </cell>
          <cell r="D792">
            <v>389</v>
          </cell>
          <cell r="E792">
            <v>335</v>
          </cell>
          <cell r="F792">
            <v>280</v>
          </cell>
          <cell r="G792">
            <v>191</v>
          </cell>
          <cell r="H792">
            <v>102</v>
          </cell>
          <cell r="I792">
            <v>519</v>
          </cell>
          <cell r="J792">
            <v>468</v>
          </cell>
          <cell r="K792">
            <v>389</v>
          </cell>
          <cell r="L792">
            <v>335</v>
          </cell>
          <cell r="M792">
            <v>280</v>
          </cell>
          <cell r="N792">
            <v>191</v>
          </cell>
          <cell r="O792">
            <v>102</v>
          </cell>
          <cell r="P792">
            <v>389</v>
          </cell>
          <cell r="Q792">
            <v>358</v>
          </cell>
          <cell r="R792">
            <v>305</v>
          </cell>
          <cell r="S792">
            <v>266</v>
          </cell>
          <cell r="T792">
            <v>227</v>
          </cell>
          <cell r="U792">
            <v>158</v>
          </cell>
          <cell r="V792">
            <v>88</v>
          </cell>
          <cell r="W792">
            <v>389</v>
          </cell>
          <cell r="X792">
            <v>358</v>
          </cell>
          <cell r="Y792">
            <v>305</v>
          </cell>
          <cell r="Z792">
            <v>266</v>
          </cell>
          <cell r="AA792">
            <v>227</v>
          </cell>
          <cell r="AB792">
            <v>158</v>
          </cell>
          <cell r="AC792">
            <v>88</v>
          </cell>
        </row>
        <row r="793">
          <cell r="A793" t="str">
            <v>16-24-29</v>
          </cell>
          <cell r="B793">
            <v>454</v>
          </cell>
          <cell r="C793">
            <v>411</v>
          </cell>
          <cell r="D793">
            <v>346</v>
          </cell>
          <cell r="E793">
            <v>298</v>
          </cell>
          <cell r="F793">
            <v>250</v>
          </cell>
          <cell r="G793">
            <v>171</v>
          </cell>
          <cell r="H793">
            <v>91</v>
          </cell>
          <cell r="I793">
            <v>454</v>
          </cell>
          <cell r="J793">
            <v>411</v>
          </cell>
          <cell r="K793">
            <v>346</v>
          </cell>
          <cell r="L793">
            <v>298</v>
          </cell>
          <cell r="M793">
            <v>250</v>
          </cell>
          <cell r="N793">
            <v>171</v>
          </cell>
          <cell r="O793">
            <v>91</v>
          </cell>
          <cell r="P793">
            <v>340</v>
          </cell>
          <cell r="Q793">
            <v>315</v>
          </cell>
          <cell r="R793">
            <v>270</v>
          </cell>
          <cell r="S793">
            <v>237</v>
          </cell>
          <cell r="T793">
            <v>203</v>
          </cell>
          <cell r="U793">
            <v>141</v>
          </cell>
          <cell r="V793">
            <v>79</v>
          </cell>
          <cell r="W793">
            <v>340</v>
          </cell>
          <cell r="X793">
            <v>315</v>
          </cell>
          <cell r="Y793">
            <v>270</v>
          </cell>
          <cell r="Z793">
            <v>237</v>
          </cell>
          <cell r="AA793">
            <v>203</v>
          </cell>
          <cell r="AB793">
            <v>141</v>
          </cell>
          <cell r="AC793">
            <v>79</v>
          </cell>
        </row>
        <row r="794">
          <cell r="A794" t="str">
            <v>17-19-29</v>
          </cell>
          <cell r="B794">
            <v>733</v>
          </cell>
          <cell r="C794">
            <v>648</v>
          </cell>
          <cell r="D794">
            <v>529</v>
          </cell>
          <cell r="E794">
            <v>448</v>
          </cell>
          <cell r="F794">
            <v>366</v>
          </cell>
          <cell r="G794">
            <v>250</v>
          </cell>
          <cell r="H794">
            <v>134</v>
          </cell>
          <cell r="I794">
            <v>733</v>
          </cell>
          <cell r="J794">
            <v>648</v>
          </cell>
          <cell r="K794">
            <v>529</v>
          </cell>
          <cell r="L794">
            <v>448</v>
          </cell>
          <cell r="M794">
            <v>366</v>
          </cell>
          <cell r="N794">
            <v>250</v>
          </cell>
          <cell r="O794">
            <v>134</v>
          </cell>
          <cell r="P794">
            <v>549</v>
          </cell>
          <cell r="Q794">
            <v>496</v>
          </cell>
          <cell r="R794">
            <v>414</v>
          </cell>
          <cell r="S794">
            <v>356</v>
          </cell>
          <cell r="T794">
            <v>297</v>
          </cell>
          <cell r="U794">
            <v>207</v>
          </cell>
          <cell r="V794">
            <v>117</v>
          </cell>
          <cell r="W794">
            <v>549</v>
          </cell>
          <cell r="X794">
            <v>496</v>
          </cell>
          <cell r="Y794">
            <v>414</v>
          </cell>
          <cell r="Z794">
            <v>356</v>
          </cell>
          <cell r="AA794">
            <v>297</v>
          </cell>
          <cell r="AB794">
            <v>207</v>
          </cell>
          <cell r="AC794">
            <v>117</v>
          </cell>
        </row>
        <row r="795">
          <cell r="A795" t="str">
            <v>17-20-29</v>
          </cell>
          <cell r="B795">
            <v>680</v>
          </cell>
          <cell r="C795">
            <v>605</v>
          </cell>
          <cell r="D795">
            <v>495</v>
          </cell>
          <cell r="E795">
            <v>421</v>
          </cell>
          <cell r="F795">
            <v>346</v>
          </cell>
          <cell r="G795">
            <v>236</v>
          </cell>
          <cell r="H795">
            <v>126</v>
          </cell>
          <cell r="I795">
            <v>680</v>
          </cell>
          <cell r="J795">
            <v>605</v>
          </cell>
          <cell r="K795">
            <v>495</v>
          </cell>
          <cell r="L795">
            <v>421</v>
          </cell>
          <cell r="M795">
            <v>346</v>
          </cell>
          <cell r="N795">
            <v>236</v>
          </cell>
          <cell r="O795">
            <v>126</v>
          </cell>
          <cell r="P795">
            <v>510</v>
          </cell>
          <cell r="Q795">
            <v>463</v>
          </cell>
          <cell r="R795">
            <v>388</v>
          </cell>
          <cell r="S795">
            <v>335</v>
          </cell>
          <cell r="T795">
            <v>281</v>
          </cell>
          <cell r="U795">
            <v>196</v>
          </cell>
          <cell r="V795">
            <v>110</v>
          </cell>
          <cell r="W795">
            <v>510</v>
          </cell>
          <cell r="X795">
            <v>463</v>
          </cell>
          <cell r="Y795">
            <v>388</v>
          </cell>
          <cell r="Z795">
            <v>335</v>
          </cell>
          <cell r="AA795">
            <v>281</v>
          </cell>
          <cell r="AB795">
            <v>196</v>
          </cell>
          <cell r="AC795">
            <v>110</v>
          </cell>
        </row>
        <row r="796">
          <cell r="A796" t="str">
            <v>17-21-29</v>
          </cell>
          <cell r="B796">
            <v>627</v>
          </cell>
          <cell r="C796">
            <v>560</v>
          </cell>
          <cell r="D796">
            <v>461</v>
          </cell>
          <cell r="E796">
            <v>395</v>
          </cell>
          <cell r="F796">
            <v>328</v>
          </cell>
          <cell r="G796">
            <v>225</v>
          </cell>
          <cell r="H796">
            <v>121</v>
          </cell>
          <cell r="I796">
            <v>627</v>
          </cell>
          <cell r="J796">
            <v>560</v>
          </cell>
          <cell r="K796">
            <v>461</v>
          </cell>
          <cell r="L796">
            <v>395</v>
          </cell>
          <cell r="M796">
            <v>328</v>
          </cell>
          <cell r="N796">
            <v>225</v>
          </cell>
          <cell r="O796">
            <v>121</v>
          </cell>
          <cell r="P796">
            <v>470</v>
          </cell>
          <cell r="Q796">
            <v>428</v>
          </cell>
          <cell r="R796">
            <v>361</v>
          </cell>
          <cell r="S796">
            <v>314</v>
          </cell>
          <cell r="T796">
            <v>267</v>
          </cell>
          <cell r="U796">
            <v>186</v>
          </cell>
          <cell r="V796">
            <v>105</v>
          </cell>
          <cell r="W796">
            <v>470</v>
          </cell>
          <cell r="X796">
            <v>428</v>
          </cell>
          <cell r="Y796">
            <v>361</v>
          </cell>
          <cell r="Z796">
            <v>314</v>
          </cell>
          <cell r="AA796">
            <v>267</v>
          </cell>
          <cell r="AB796">
            <v>186</v>
          </cell>
          <cell r="AC796">
            <v>105</v>
          </cell>
        </row>
        <row r="797">
          <cell r="A797" t="str">
            <v>17-22-29</v>
          </cell>
          <cell r="B797">
            <v>572</v>
          </cell>
          <cell r="C797">
            <v>513</v>
          </cell>
          <cell r="D797">
            <v>425</v>
          </cell>
          <cell r="E797">
            <v>365</v>
          </cell>
          <cell r="F797">
            <v>305</v>
          </cell>
          <cell r="G797">
            <v>209</v>
          </cell>
          <cell r="H797">
            <v>112</v>
          </cell>
          <cell r="I797">
            <v>572</v>
          </cell>
          <cell r="J797">
            <v>513</v>
          </cell>
          <cell r="K797">
            <v>425</v>
          </cell>
          <cell r="L797">
            <v>365</v>
          </cell>
          <cell r="M797">
            <v>305</v>
          </cell>
          <cell r="N797">
            <v>209</v>
          </cell>
          <cell r="O797">
            <v>112</v>
          </cell>
          <cell r="P797">
            <v>429</v>
          </cell>
          <cell r="Q797">
            <v>392</v>
          </cell>
          <cell r="R797">
            <v>332</v>
          </cell>
          <cell r="S797">
            <v>290</v>
          </cell>
          <cell r="T797">
            <v>247</v>
          </cell>
          <cell r="U797">
            <v>173</v>
          </cell>
          <cell r="V797">
            <v>98</v>
          </cell>
          <cell r="W797">
            <v>429</v>
          </cell>
          <cell r="X797">
            <v>392</v>
          </cell>
          <cell r="Y797">
            <v>332</v>
          </cell>
          <cell r="Z797">
            <v>290</v>
          </cell>
          <cell r="AA797">
            <v>247</v>
          </cell>
          <cell r="AB797">
            <v>173</v>
          </cell>
          <cell r="AC797">
            <v>98</v>
          </cell>
        </row>
        <row r="798">
          <cell r="A798" t="str">
            <v>17-23-29</v>
          </cell>
          <cell r="B798">
            <v>512</v>
          </cell>
          <cell r="C798">
            <v>462</v>
          </cell>
          <cell r="D798">
            <v>386</v>
          </cell>
          <cell r="E798">
            <v>332</v>
          </cell>
          <cell r="F798">
            <v>277</v>
          </cell>
          <cell r="G798">
            <v>190</v>
          </cell>
          <cell r="H798">
            <v>102</v>
          </cell>
          <cell r="I798">
            <v>512</v>
          </cell>
          <cell r="J798">
            <v>462</v>
          </cell>
          <cell r="K798">
            <v>386</v>
          </cell>
          <cell r="L798">
            <v>332</v>
          </cell>
          <cell r="M798">
            <v>277</v>
          </cell>
          <cell r="N798">
            <v>190</v>
          </cell>
          <cell r="O798">
            <v>102</v>
          </cell>
          <cell r="P798">
            <v>384</v>
          </cell>
          <cell r="Q798">
            <v>354</v>
          </cell>
          <cell r="R798">
            <v>302</v>
          </cell>
          <cell r="S798">
            <v>264</v>
          </cell>
          <cell r="T798">
            <v>225</v>
          </cell>
          <cell r="U798">
            <v>157</v>
          </cell>
          <cell r="V798">
            <v>88</v>
          </cell>
          <cell r="W798">
            <v>384</v>
          </cell>
          <cell r="X798">
            <v>354</v>
          </cell>
          <cell r="Y798">
            <v>302</v>
          </cell>
          <cell r="Z798">
            <v>264</v>
          </cell>
          <cell r="AA798">
            <v>225</v>
          </cell>
          <cell r="AB798">
            <v>157</v>
          </cell>
          <cell r="AC798">
            <v>88</v>
          </cell>
        </row>
        <row r="799">
          <cell r="A799" t="str">
            <v>17-24-29</v>
          </cell>
          <cell r="B799">
            <v>448</v>
          </cell>
          <cell r="C799">
            <v>407</v>
          </cell>
          <cell r="D799">
            <v>341</v>
          </cell>
          <cell r="E799">
            <v>294</v>
          </cell>
          <cell r="F799">
            <v>247</v>
          </cell>
          <cell r="G799">
            <v>169</v>
          </cell>
          <cell r="H799">
            <v>90</v>
          </cell>
          <cell r="I799">
            <v>448</v>
          </cell>
          <cell r="J799">
            <v>407</v>
          </cell>
          <cell r="K799">
            <v>341</v>
          </cell>
          <cell r="L799">
            <v>294</v>
          </cell>
          <cell r="M799">
            <v>247</v>
          </cell>
          <cell r="N799">
            <v>169</v>
          </cell>
          <cell r="O799">
            <v>90</v>
          </cell>
          <cell r="P799">
            <v>336</v>
          </cell>
          <cell r="Q799">
            <v>311</v>
          </cell>
          <cell r="R799">
            <v>267</v>
          </cell>
          <cell r="S799">
            <v>234</v>
          </cell>
          <cell r="T799">
            <v>201</v>
          </cell>
          <cell r="U799">
            <v>140</v>
          </cell>
          <cell r="V799">
            <v>78</v>
          </cell>
          <cell r="W799">
            <v>336</v>
          </cell>
          <cell r="X799">
            <v>311</v>
          </cell>
          <cell r="Y799">
            <v>267</v>
          </cell>
          <cell r="Z799">
            <v>234</v>
          </cell>
          <cell r="AA799">
            <v>201</v>
          </cell>
          <cell r="AB799">
            <v>140</v>
          </cell>
          <cell r="AC799">
            <v>78</v>
          </cell>
        </row>
        <row r="800">
          <cell r="A800" t="str">
            <v>18-20-29</v>
          </cell>
          <cell r="B800">
            <v>670</v>
          </cell>
          <cell r="C800">
            <v>595</v>
          </cell>
          <cell r="D800">
            <v>488</v>
          </cell>
          <cell r="E800">
            <v>414</v>
          </cell>
          <cell r="F800">
            <v>340</v>
          </cell>
          <cell r="G800">
            <v>232</v>
          </cell>
          <cell r="H800">
            <v>124</v>
          </cell>
          <cell r="I800">
            <v>670</v>
          </cell>
          <cell r="J800">
            <v>595</v>
          </cell>
          <cell r="K800">
            <v>488</v>
          </cell>
          <cell r="L800">
            <v>414</v>
          </cell>
          <cell r="M800">
            <v>340</v>
          </cell>
          <cell r="N800">
            <v>232</v>
          </cell>
          <cell r="O800">
            <v>124</v>
          </cell>
          <cell r="P800">
            <v>502</v>
          </cell>
          <cell r="Q800">
            <v>455</v>
          </cell>
          <cell r="R800">
            <v>382</v>
          </cell>
          <cell r="S800">
            <v>329</v>
          </cell>
          <cell r="T800">
            <v>276</v>
          </cell>
          <cell r="U800">
            <v>192</v>
          </cell>
          <cell r="V800">
            <v>108</v>
          </cell>
          <cell r="W800">
            <v>502</v>
          </cell>
          <cell r="X800">
            <v>455</v>
          </cell>
          <cell r="Y800">
            <v>382</v>
          </cell>
          <cell r="Z800">
            <v>329</v>
          </cell>
          <cell r="AA800">
            <v>276</v>
          </cell>
          <cell r="AB800">
            <v>192</v>
          </cell>
          <cell r="AC800">
            <v>108</v>
          </cell>
        </row>
        <row r="801">
          <cell r="A801" t="str">
            <v>18-21-29</v>
          </cell>
          <cell r="B801">
            <v>616</v>
          </cell>
          <cell r="C801">
            <v>551</v>
          </cell>
          <cell r="D801">
            <v>453</v>
          </cell>
          <cell r="E801">
            <v>388</v>
          </cell>
          <cell r="F801">
            <v>322</v>
          </cell>
          <cell r="G801">
            <v>220</v>
          </cell>
          <cell r="H801">
            <v>118</v>
          </cell>
          <cell r="I801">
            <v>616</v>
          </cell>
          <cell r="J801">
            <v>551</v>
          </cell>
          <cell r="K801">
            <v>453</v>
          </cell>
          <cell r="L801">
            <v>388</v>
          </cell>
          <cell r="M801">
            <v>322</v>
          </cell>
          <cell r="N801">
            <v>220</v>
          </cell>
          <cell r="O801">
            <v>118</v>
          </cell>
          <cell r="P801">
            <v>462</v>
          </cell>
          <cell r="Q801">
            <v>421</v>
          </cell>
          <cell r="R801">
            <v>354</v>
          </cell>
          <cell r="S801">
            <v>308</v>
          </cell>
          <cell r="T801">
            <v>262</v>
          </cell>
          <cell r="U801">
            <v>183</v>
          </cell>
          <cell r="V801">
            <v>103</v>
          </cell>
          <cell r="W801">
            <v>462</v>
          </cell>
          <cell r="X801">
            <v>421</v>
          </cell>
          <cell r="Y801">
            <v>354</v>
          </cell>
          <cell r="Z801">
            <v>308</v>
          </cell>
          <cell r="AA801">
            <v>262</v>
          </cell>
          <cell r="AB801">
            <v>183</v>
          </cell>
          <cell r="AC801">
            <v>103</v>
          </cell>
        </row>
        <row r="802">
          <cell r="A802" t="str">
            <v>18-22-29</v>
          </cell>
          <cell r="B802">
            <v>561</v>
          </cell>
          <cell r="C802">
            <v>504</v>
          </cell>
          <cell r="D802">
            <v>417</v>
          </cell>
          <cell r="E802">
            <v>359</v>
          </cell>
          <cell r="F802">
            <v>300</v>
          </cell>
          <cell r="G802">
            <v>205</v>
          </cell>
          <cell r="H802">
            <v>110</v>
          </cell>
          <cell r="I802">
            <v>561</v>
          </cell>
          <cell r="J802">
            <v>504</v>
          </cell>
          <cell r="K802">
            <v>417</v>
          </cell>
          <cell r="L802">
            <v>359</v>
          </cell>
          <cell r="M802">
            <v>300</v>
          </cell>
          <cell r="N802">
            <v>205</v>
          </cell>
          <cell r="O802">
            <v>110</v>
          </cell>
          <cell r="P802">
            <v>421</v>
          </cell>
          <cell r="Q802">
            <v>385</v>
          </cell>
          <cell r="R802">
            <v>327</v>
          </cell>
          <cell r="S802">
            <v>285</v>
          </cell>
          <cell r="T802">
            <v>243</v>
          </cell>
          <cell r="U802">
            <v>170</v>
          </cell>
          <cell r="V802">
            <v>96</v>
          </cell>
          <cell r="W802">
            <v>421</v>
          </cell>
          <cell r="X802">
            <v>385</v>
          </cell>
          <cell r="Y802">
            <v>327</v>
          </cell>
          <cell r="Z802">
            <v>285</v>
          </cell>
          <cell r="AA802">
            <v>243</v>
          </cell>
          <cell r="AB802">
            <v>170</v>
          </cell>
          <cell r="AC802">
            <v>96</v>
          </cell>
        </row>
        <row r="803">
          <cell r="A803" t="str">
            <v>18-23-29</v>
          </cell>
          <cell r="B803">
            <v>505</v>
          </cell>
          <cell r="C803">
            <v>456</v>
          </cell>
          <cell r="D803">
            <v>380</v>
          </cell>
          <cell r="E803">
            <v>328</v>
          </cell>
          <cell r="F803">
            <v>275</v>
          </cell>
          <cell r="G803">
            <v>189</v>
          </cell>
          <cell r="H803">
            <v>102</v>
          </cell>
          <cell r="I803">
            <v>505</v>
          </cell>
          <cell r="J803">
            <v>456</v>
          </cell>
          <cell r="K803">
            <v>380</v>
          </cell>
          <cell r="L803">
            <v>328</v>
          </cell>
          <cell r="M803">
            <v>275</v>
          </cell>
          <cell r="N803">
            <v>189</v>
          </cell>
          <cell r="O803">
            <v>102</v>
          </cell>
          <cell r="P803">
            <v>378</v>
          </cell>
          <cell r="Q803">
            <v>349</v>
          </cell>
          <cell r="R803">
            <v>297</v>
          </cell>
          <cell r="S803">
            <v>260</v>
          </cell>
          <cell r="T803">
            <v>223</v>
          </cell>
          <cell r="U803">
            <v>156</v>
          </cell>
          <cell r="V803">
            <v>88</v>
          </cell>
          <cell r="W803">
            <v>378</v>
          </cell>
          <cell r="X803">
            <v>349</v>
          </cell>
          <cell r="Y803">
            <v>297</v>
          </cell>
          <cell r="Z803">
            <v>260</v>
          </cell>
          <cell r="AA803">
            <v>223</v>
          </cell>
          <cell r="AB803">
            <v>156</v>
          </cell>
          <cell r="AC803">
            <v>88</v>
          </cell>
        </row>
        <row r="804">
          <cell r="A804" t="str">
            <v>18-24-29</v>
          </cell>
          <cell r="B804">
            <v>442</v>
          </cell>
          <cell r="C804">
            <v>401</v>
          </cell>
          <cell r="D804">
            <v>337</v>
          </cell>
          <cell r="E804">
            <v>291</v>
          </cell>
          <cell r="F804">
            <v>244</v>
          </cell>
          <cell r="G804">
            <v>167</v>
          </cell>
          <cell r="H804">
            <v>90</v>
          </cell>
          <cell r="I804">
            <v>442</v>
          </cell>
          <cell r="J804">
            <v>401</v>
          </cell>
          <cell r="K804">
            <v>337</v>
          </cell>
          <cell r="L804">
            <v>291</v>
          </cell>
          <cell r="M804">
            <v>244</v>
          </cell>
          <cell r="N804">
            <v>167</v>
          </cell>
          <cell r="O804">
            <v>90</v>
          </cell>
          <cell r="P804">
            <v>331</v>
          </cell>
          <cell r="Q804">
            <v>307</v>
          </cell>
          <cell r="R804">
            <v>264</v>
          </cell>
          <cell r="S804">
            <v>232</v>
          </cell>
          <cell r="T804">
            <v>199</v>
          </cell>
          <cell r="U804">
            <v>139</v>
          </cell>
          <cell r="V804">
            <v>78</v>
          </cell>
          <cell r="W804">
            <v>331</v>
          </cell>
          <cell r="X804">
            <v>307</v>
          </cell>
          <cell r="Y804">
            <v>264</v>
          </cell>
          <cell r="Z804">
            <v>232</v>
          </cell>
          <cell r="AA804">
            <v>199</v>
          </cell>
          <cell r="AB804">
            <v>139</v>
          </cell>
          <cell r="AC804">
            <v>78</v>
          </cell>
        </row>
        <row r="805">
          <cell r="A805" t="str">
            <v>19-21-29</v>
          </cell>
          <cell r="B805">
            <v>605</v>
          </cell>
          <cell r="C805">
            <v>540</v>
          </cell>
          <cell r="D805">
            <v>444</v>
          </cell>
          <cell r="E805">
            <v>380</v>
          </cell>
          <cell r="F805">
            <v>316</v>
          </cell>
          <cell r="G805">
            <v>216</v>
          </cell>
          <cell r="H805">
            <v>116</v>
          </cell>
          <cell r="I805">
            <v>605</v>
          </cell>
          <cell r="J805">
            <v>540</v>
          </cell>
          <cell r="K805">
            <v>444</v>
          </cell>
          <cell r="L805">
            <v>380</v>
          </cell>
          <cell r="M805">
            <v>316</v>
          </cell>
          <cell r="N805">
            <v>216</v>
          </cell>
          <cell r="O805">
            <v>116</v>
          </cell>
          <cell r="P805">
            <v>454</v>
          </cell>
          <cell r="Q805">
            <v>413</v>
          </cell>
          <cell r="R805">
            <v>348</v>
          </cell>
          <cell r="S805">
            <v>303</v>
          </cell>
          <cell r="T805">
            <v>257</v>
          </cell>
          <cell r="U805">
            <v>179</v>
          </cell>
          <cell r="V805">
            <v>101</v>
          </cell>
          <cell r="W805">
            <v>454</v>
          </cell>
          <cell r="X805">
            <v>413</v>
          </cell>
          <cell r="Y805">
            <v>348</v>
          </cell>
          <cell r="Z805">
            <v>303</v>
          </cell>
          <cell r="AA805">
            <v>257</v>
          </cell>
          <cell r="AB805">
            <v>179</v>
          </cell>
          <cell r="AC805">
            <v>101</v>
          </cell>
        </row>
        <row r="806">
          <cell r="A806" t="str">
            <v>19-22-29</v>
          </cell>
          <cell r="B806">
            <v>551</v>
          </cell>
          <cell r="C806">
            <v>493</v>
          </cell>
          <cell r="D806">
            <v>409</v>
          </cell>
          <cell r="E806">
            <v>351</v>
          </cell>
          <cell r="F806">
            <v>293</v>
          </cell>
          <cell r="G806">
            <v>201</v>
          </cell>
          <cell r="H806">
            <v>108</v>
          </cell>
          <cell r="I806">
            <v>551</v>
          </cell>
          <cell r="J806">
            <v>493</v>
          </cell>
          <cell r="K806">
            <v>409</v>
          </cell>
          <cell r="L806">
            <v>351</v>
          </cell>
          <cell r="M806">
            <v>293</v>
          </cell>
          <cell r="N806">
            <v>201</v>
          </cell>
          <cell r="O806">
            <v>108</v>
          </cell>
          <cell r="P806">
            <v>413</v>
          </cell>
          <cell r="Q806">
            <v>378</v>
          </cell>
          <cell r="R806">
            <v>320</v>
          </cell>
          <cell r="S806">
            <v>279</v>
          </cell>
          <cell r="T806">
            <v>238</v>
          </cell>
          <cell r="U806">
            <v>166</v>
          </cell>
          <cell r="V806">
            <v>94</v>
          </cell>
          <cell r="W806">
            <v>413</v>
          </cell>
          <cell r="X806">
            <v>378</v>
          </cell>
          <cell r="Y806">
            <v>320</v>
          </cell>
          <cell r="Z806">
            <v>279</v>
          </cell>
          <cell r="AA806">
            <v>238</v>
          </cell>
          <cell r="AB806">
            <v>166</v>
          </cell>
          <cell r="AC806">
            <v>94</v>
          </cell>
        </row>
        <row r="807">
          <cell r="A807" t="str">
            <v>19-23-29</v>
          </cell>
          <cell r="B807">
            <v>495</v>
          </cell>
          <cell r="C807">
            <v>446</v>
          </cell>
          <cell r="D807">
            <v>371</v>
          </cell>
          <cell r="E807">
            <v>320</v>
          </cell>
          <cell r="F807">
            <v>268</v>
          </cell>
          <cell r="G807">
            <v>184</v>
          </cell>
          <cell r="H807">
            <v>100</v>
          </cell>
          <cell r="I807">
            <v>495</v>
          </cell>
          <cell r="J807">
            <v>446</v>
          </cell>
          <cell r="K807">
            <v>371</v>
          </cell>
          <cell r="L807">
            <v>320</v>
          </cell>
          <cell r="M807">
            <v>268</v>
          </cell>
          <cell r="N807">
            <v>184</v>
          </cell>
          <cell r="O807">
            <v>100</v>
          </cell>
          <cell r="P807">
            <v>371</v>
          </cell>
          <cell r="Q807">
            <v>341</v>
          </cell>
          <cell r="R807">
            <v>291</v>
          </cell>
          <cell r="S807">
            <v>255</v>
          </cell>
          <cell r="T807">
            <v>218</v>
          </cell>
          <cell r="U807">
            <v>153</v>
          </cell>
          <cell r="V807">
            <v>87</v>
          </cell>
          <cell r="W807">
            <v>371</v>
          </cell>
          <cell r="X807">
            <v>341</v>
          </cell>
          <cell r="Y807">
            <v>291</v>
          </cell>
          <cell r="Z807">
            <v>255</v>
          </cell>
          <cell r="AA807">
            <v>218</v>
          </cell>
          <cell r="AB807">
            <v>153</v>
          </cell>
          <cell r="AC807">
            <v>87</v>
          </cell>
        </row>
        <row r="808">
          <cell r="A808" t="str">
            <v>19-24-29</v>
          </cell>
          <cell r="B808">
            <v>435</v>
          </cell>
          <cell r="C808">
            <v>395</v>
          </cell>
          <cell r="D808">
            <v>331</v>
          </cell>
          <cell r="E808">
            <v>287</v>
          </cell>
          <cell r="F808">
            <v>242</v>
          </cell>
          <cell r="G808">
            <v>166</v>
          </cell>
          <cell r="H808">
            <v>90</v>
          </cell>
          <cell r="I808">
            <v>435</v>
          </cell>
          <cell r="J808">
            <v>395</v>
          </cell>
          <cell r="K808">
            <v>331</v>
          </cell>
          <cell r="L808">
            <v>287</v>
          </cell>
          <cell r="M808">
            <v>242</v>
          </cell>
          <cell r="N808">
            <v>166</v>
          </cell>
          <cell r="O808">
            <v>90</v>
          </cell>
          <cell r="P808">
            <v>326</v>
          </cell>
          <cell r="Q808">
            <v>302</v>
          </cell>
          <cell r="R808">
            <v>259</v>
          </cell>
          <cell r="S808">
            <v>228</v>
          </cell>
          <cell r="T808">
            <v>197</v>
          </cell>
          <cell r="U808">
            <v>138</v>
          </cell>
          <cell r="V808">
            <v>78</v>
          </cell>
          <cell r="W808">
            <v>326</v>
          </cell>
          <cell r="X808">
            <v>302</v>
          </cell>
          <cell r="Y808">
            <v>259</v>
          </cell>
          <cell r="Z808">
            <v>228</v>
          </cell>
          <cell r="AA808">
            <v>197</v>
          </cell>
          <cell r="AB808">
            <v>138</v>
          </cell>
          <cell r="AC808">
            <v>78</v>
          </cell>
        </row>
        <row r="809">
          <cell r="A809" t="str">
            <v>20-22-29</v>
          </cell>
          <cell r="B809">
            <v>539</v>
          </cell>
          <cell r="C809">
            <v>483</v>
          </cell>
          <cell r="D809">
            <v>400</v>
          </cell>
          <cell r="E809">
            <v>343</v>
          </cell>
          <cell r="F809">
            <v>286</v>
          </cell>
          <cell r="G809">
            <v>196</v>
          </cell>
          <cell r="H809">
            <v>106</v>
          </cell>
          <cell r="I809">
            <v>539</v>
          </cell>
          <cell r="J809">
            <v>483</v>
          </cell>
          <cell r="K809">
            <v>400</v>
          </cell>
          <cell r="L809">
            <v>343</v>
          </cell>
          <cell r="M809">
            <v>286</v>
          </cell>
          <cell r="N809">
            <v>196</v>
          </cell>
          <cell r="O809">
            <v>106</v>
          </cell>
          <cell r="P809">
            <v>404</v>
          </cell>
          <cell r="Q809">
            <v>370</v>
          </cell>
          <cell r="R809">
            <v>313</v>
          </cell>
          <cell r="S809">
            <v>273</v>
          </cell>
          <cell r="T809">
            <v>232</v>
          </cell>
          <cell r="U809">
            <v>162</v>
          </cell>
          <cell r="V809">
            <v>92</v>
          </cell>
          <cell r="W809">
            <v>404</v>
          </cell>
          <cell r="X809">
            <v>370</v>
          </cell>
          <cell r="Y809">
            <v>313</v>
          </cell>
          <cell r="Z809">
            <v>273</v>
          </cell>
          <cell r="AA809">
            <v>232</v>
          </cell>
          <cell r="AB809">
            <v>162</v>
          </cell>
          <cell r="AC809">
            <v>92</v>
          </cell>
        </row>
        <row r="810">
          <cell r="A810" t="str">
            <v>20-23-29</v>
          </cell>
          <cell r="B810">
            <v>483</v>
          </cell>
          <cell r="C810">
            <v>435</v>
          </cell>
          <cell r="D810">
            <v>363</v>
          </cell>
          <cell r="E810">
            <v>313</v>
          </cell>
          <cell r="F810">
            <v>262</v>
          </cell>
          <cell r="G810">
            <v>180</v>
          </cell>
          <cell r="H810">
            <v>97</v>
          </cell>
          <cell r="I810">
            <v>483</v>
          </cell>
          <cell r="J810">
            <v>435</v>
          </cell>
          <cell r="K810">
            <v>363</v>
          </cell>
          <cell r="L810">
            <v>313</v>
          </cell>
          <cell r="M810">
            <v>262</v>
          </cell>
          <cell r="N810">
            <v>180</v>
          </cell>
          <cell r="O810">
            <v>97</v>
          </cell>
          <cell r="P810">
            <v>362</v>
          </cell>
          <cell r="Q810">
            <v>333</v>
          </cell>
          <cell r="R810">
            <v>284</v>
          </cell>
          <cell r="S810">
            <v>249</v>
          </cell>
          <cell r="T810">
            <v>213</v>
          </cell>
          <cell r="U810">
            <v>149</v>
          </cell>
          <cell r="V810">
            <v>85</v>
          </cell>
          <cell r="W810">
            <v>362</v>
          </cell>
          <cell r="X810">
            <v>333</v>
          </cell>
          <cell r="Y810">
            <v>284</v>
          </cell>
          <cell r="Z810">
            <v>249</v>
          </cell>
          <cell r="AA810">
            <v>213</v>
          </cell>
          <cell r="AB810">
            <v>149</v>
          </cell>
          <cell r="AC810">
            <v>85</v>
          </cell>
        </row>
        <row r="811">
          <cell r="A811" t="str">
            <v>20-24-29</v>
          </cell>
          <cell r="B811">
            <v>426</v>
          </cell>
          <cell r="C811">
            <v>386</v>
          </cell>
          <cell r="D811">
            <v>324</v>
          </cell>
          <cell r="E811">
            <v>281</v>
          </cell>
          <cell r="F811">
            <v>237</v>
          </cell>
          <cell r="G811">
            <v>163</v>
          </cell>
          <cell r="H811">
            <v>89</v>
          </cell>
          <cell r="I811">
            <v>426</v>
          </cell>
          <cell r="J811">
            <v>386</v>
          </cell>
          <cell r="K811">
            <v>324</v>
          </cell>
          <cell r="L811">
            <v>281</v>
          </cell>
          <cell r="M811">
            <v>237</v>
          </cell>
          <cell r="N811">
            <v>163</v>
          </cell>
          <cell r="O811">
            <v>89</v>
          </cell>
          <cell r="P811">
            <v>319</v>
          </cell>
          <cell r="Q811">
            <v>295</v>
          </cell>
          <cell r="R811">
            <v>253</v>
          </cell>
          <cell r="S811">
            <v>223</v>
          </cell>
          <cell r="T811">
            <v>193</v>
          </cell>
          <cell r="U811">
            <v>136</v>
          </cell>
          <cell r="V811">
            <v>78</v>
          </cell>
          <cell r="W811">
            <v>319</v>
          </cell>
          <cell r="X811">
            <v>295</v>
          </cell>
          <cell r="Y811">
            <v>253</v>
          </cell>
          <cell r="Z811">
            <v>223</v>
          </cell>
          <cell r="AA811">
            <v>193</v>
          </cell>
          <cell r="AB811">
            <v>136</v>
          </cell>
          <cell r="AC811">
            <v>78</v>
          </cell>
        </row>
        <row r="812">
          <cell r="A812" t="str">
            <v>4-6-30</v>
          </cell>
          <cell r="B812">
            <v>2494</v>
          </cell>
          <cell r="C812">
            <v>2152</v>
          </cell>
          <cell r="D812">
            <v>1733</v>
          </cell>
          <cell r="E812">
            <v>1484</v>
          </cell>
          <cell r="F812">
            <v>1234</v>
          </cell>
          <cell r="G812">
            <v>864</v>
          </cell>
          <cell r="H812">
            <v>493</v>
          </cell>
          <cell r="I812">
            <v>1432</v>
          </cell>
          <cell r="J812">
            <v>1231</v>
          </cell>
          <cell r="K812">
            <v>988</v>
          </cell>
          <cell r="L812">
            <v>845</v>
          </cell>
          <cell r="M812">
            <v>702</v>
          </cell>
          <cell r="N812">
            <v>491</v>
          </cell>
          <cell r="O812">
            <v>280</v>
          </cell>
          <cell r="P812">
            <v>1870</v>
          </cell>
          <cell r="Q812">
            <v>1646</v>
          </cell>
          <cell r="R812">
            <v>1356</v>
          </cell>
          <cell r="S812">
            <v>1179</v>
          </cell>
          <cell r="T812">
            <v>1002</v>
          </cell>
          <cell r="U812">
            <v>716</v>
          </cell>
          <cell r="V812">
            <v>429</v>
          </cell>
          <cell r="W812">
            <v>1074</v>
          </cell>
          <cell r="X812">
            <v>942</v>
          </cell>
          <cell r="Y812">
            <v>773</v>
          </cell>
          <cell r="Z812">
            <v>672</v>
          </cell>
          <cell r="AA812">
            <v>570</v>
          </cell>
          <cell r="AB812">
            <v>407</v>
          </cell>
          <cell r="AC812">
            <v>243</v>
          </cell>
        </row>
        <row r="813">
          <cell r="A813" t="str">
            <v>4-7-30</v>
          </cell>
          <cell r="B813">
            <v>2389</v>
          </cell>
          <cell r="C813">
            <v>2067</v>
          </cell>
          <cell r="D813">
            <v>1667</v>
          </cell>
          <cell r="E813">
            <v>1427</v>
          </cell>
          <cell r="F813">
            <v>1187</v>
          </cell>
          <cell r="G813">
            <v>831</v>
          </cell>
          <cell r="H813">
            <v>474</v>
          </cell>
          <cell r="I813">
            <v>1385</v>
          </cell>
          <cell r="J813">
            <v>1193</v>
          </cell>
          <cell r="K813">
            <v>958</v>
          </cell>
          <cell r="L813">
            <v>819</v>
          </cell>
          <cell r="M813">
            <v>679</v>
          </cell>
          <cell r="N813">
            <v>475</v>
          </cell>
          <cell r="O813">
            <v>270</v>
          </cell>
          <cell r="P813">
            <v>1791</v>
          </cell>
          <cell r="Q813">
            <v>1581</v>
          </cell>
          <cell r="R813">
            <v>1305</v>
          </cell>
          <cell r="S813">
            <v>1135</v>
          </cell>
          <cell r="T813">
            <v>965</v>
          </cell>
          <cell r="U813">
            <v>689</v>
          </cell>
          <cell r="V813">
            <v>412</v>
          </cell>
          <cell r="W813">
            <v>1039</v>
          </cell>
          <cell r="X813">
            <v>913</v>
          </cell>
          <cell r="Y813">
            <v>750</v>
          </cell>
          <cell r="Z813">
            <v>651</v>
          </cell>
          <cell r="AA813">
            <v>552</v>
          </cell>
          <cell r="AB813">
            <v>394</v>
          </cell>
          <cell r="AC813">
            <v>235</v>
          </cell>
        </row>
        <row r="814">
          <cell r="A814" t="str">
            <v>4-8-30</v>
          </cell>
          <cell r="B814">
            <v>2284</v>
          </cell>
          <cell r="C814">
            <v>1981</v>
          </cell>
          <cell r="D814">
            <v>1600</v>
          </cell>
          <cell r="E814">
            <v>1370</v>
          </cell>
          <cell r="F814">
            <v>1140</v>
          </cell>
          <cell r="G814">
            <v>797</v>
          </cell>
          <cell r="H814">
            <v>454</v>
          </cell>
          <cell r="I814">
            <v>1340</v>
          </cell>
          <cell r="J814">
            <v>1156</v>
          </cell>
          <cell r="K814">
            <v>927</v>
          </cell>
          <cell r="L814">
            <v>792</v>
          </cell>
          <cell r="M814">
            <v>657</v>
          </cell>
          <cell r="N814">
            <v>459</v>
          </cell>
          <cell r="O814">
            <v>260</v>
          </cell>
          <cell r="P814">
            <v>1712</v>
          </cell>
          <cell r="Q814">
            <v>1515</v>
          </cell>
          <cell r="R814">
            <v>1253</v>
          </cell>
          <cell r="S814">
            <v>1090</v>
          </cell>
          <cell r="T814">
            <v>926</v>
          </cell>
          <cell r="U814">
            <v>661</v>
          </cell>
          <cell r="V814">
            <v>396</v>
          </cell>
          <cell r="W814">
            <v>1004</v>
          </cell>
          <cell r="X814">
            <v>884</v>
          </cell>
          <cell r="Y814">
            <v>726</v>
          </cell>
          <cell r="Z814">
            <v>630</v>
          </cell>
          <cell r="AA814">
            <v>534</v>
          </cell>
          <cell r="AB814">
            <v>381</v>
          </cell>
          <cell r="AC814">
            <v>227</v>
          </cell>
        </row>
        <row r="815">
          <cell r="A815" t="str">
            <v>4-9-30</v>
          </cell>
          <cell r="B815">
            <v>2175</v>
          </cell>
          <cell r="C815">
            <v>1892</v>
          </cell>
          <cell r="D815">
            <v>1532</v>
          </cell>
          <cell r="E815">
            <v>1312</v>
          </cell>
          <cell r="F815">
            <v>1091</v>
          </cell>
          <cell r="G815">
            <v>762</v>
          </cell>
          <cell r="H815">
            <v>433</v>
          </cell>
          <cell r="I815">
            <v>1294</v>
          </cell>
          <cell r="J815">
            <v>1118</v>
          </cell>
          <cell r="K815">
            <v>899</v>
          </cell>
          <cell r="L815">
            <v>768</v>
          </cell>
          <cell r="M815">
            <v>636</v>
          </cell>
          <cell r="N815">
            <v>444</v>
          </cell>
          <cell r="O815">
            <v>251</v>
          </cell>
          <cell r="P815">
            <v>1631</v>
          </cell>
          <cell r="Q815">
            <v>1447</v>
          </cell>
          <cell r="R815">
            <v>1199</v>
          </cell>
          <cell r="S815">
            <v>1043</v>
          </cell>
          <cell r="T815">
            <v>886</v>
          </cell>
          <cell r="U815">
            <v>632</v>
          </cell>
          <cell r="V815">
            <v>377</v>
          </cell>
          <cell r="W815">
            <v>970</v>
          </cell>
          <cell r="X815">
            <v>855</v>
          </cell>
          <cell r="Y815">
            <v>704</v>
          </cell>
          <cell r="Z815">
            <v>610</v>
          </cell>
          <cell r="AA815">
            <v>516</v>
          </cell>
          <cell r="AB815">
            <v>367</v>
          </cell>
          <cell r="AC815">
            <v>218</v>
          </cell>
        </row>
        <row r="816">
          <cell r="A816" t="str">
            <v>4-10-30</v>
          </cell>
          <cell r="B816">
            <v>2063</v>
          </cell>
          <cell r="C816">
            <v>1799</v>
          </cell>
          <cell r="D816">
            <v>1461</v>
          </cell>
          <cell r="E816">
            <v>1251</v>
          </cell>
          <cell r="F816">
            <v>1040</v>
          </cell>
          <cell r="G816">
            <v>726</v>
          </cell>
          <cell r="H816">
            <v>412</v>
          </cell>
          <cell r="I816">
            <v>1250</v>
          </cell>
          <cell r="J816">
            <v>1080</v>
          </cell>
          <cell r="K816">
            <v>869</v>
          </cell>
          <cell r="L816">
            <v>741</v>
          </cell>
          <cell r="M816">
            <v>613</v>
          </cell>
          <cell r="N816">
            <v>427</v>
          </cell>
          <cell r="O816">
            <v>241</v>
          </cell>
          <cell r="P816">
            <v>1546</v>
          </cell>
          <cell r="Q816">
            <v>1377</v>
          </cell>
          <cell r="R816">
            <v>1143</v>
          </cell>
          <cell r="S816">
            <v>994</v>
          </cell>
          <cell r="T816">
            <v>845</v>
          </cell>
          <cell r="U816">
            <v>602</v>
          </cell>
          <cell r="V816">
            <v>359</v>
          </cell>
          <cell r="W816">
            <v>937</v>
          </cell>
          <cell r="X816">
            <v>827</v>
          </cell>
          <cell r="Y816">
            <v>680</v>
          </cell>
          <cell r="Z816">
            <v>589</v>
          </cell>
          <cell r="AA816">
            <v>498</v>
          </cell>
          <cell r="AB816">
            <v>354</v>
          </cell>
          <cell r="AC816">
            <v>210</v>
          </cell>
        </row>
        <row r="817">
          <cell r="A817" t="str">
            <v>4-11-30</v>
          </cell>
          <cell r="B817">
            <v>1946</v>
          </cell>
          <cell r="C817">
            <v>1704</v>
          </cell>
          <cell r="D817">
            <v>1386</v>
          </cell>
          <cell r="E817">
            <v>1187</v>
          </cell>
          <cell r="F817">
            <v>988</v>
          </cell>
          <cell r="G817">
            <v>689</v>
          </cell>
          <cell r="H817">
            <v>390</v>
          </cell>
          <cell r="I817">
            <v>1204</v>
          </cell>
          <cell r="J817">
            <v>1043</v>
          </cell>
          <cell r="K817">
            <v>840</v>
          </cell>
          <cell r="L817">
            <v>716</v>
          </cell>
          <cell r="M817">
            <v>592</v>
          </cell>
          <cell r="N817">
            <v>412</v>
          </cell>
          <cell r="O817">
            <v>231</v>
          </cell>
          <cell r="P817">
            <v>1459</v>
          </cell>
          <cell r="Q817">
            <v>1304</v>
          </cell>
          <cell r="R817">
            <v>1085</v>
          </cell>
          <cell r="S817">
            <v>944</v>
          </cell>
          <cell r="T817">
            <v>802</v>
          </cell>
          <cell r="U817">
            <v>571</v>
          </cell>
          <cell r="V817">
            <v>340</v>
          </cell>
          <cell r="W817">
            <v>903</v>
          </cell>
          <cell r="X817">
            <v>798</v>
          </cell>
          <cell r="Y817">
            <v>657</v>
          </cell>
          <cell r="Z817">
            <v>569</v>
          </cell>
          <cell r="AA817">
            <v>480</v>
          </cell>
          <cell r="AB817">
            <v>341</v>
          </cell>
          <cell r="AC817">
            <v>202</v>
          </cell>
        </row>
        <row r="818">
          <cell r="A818" t="str">
            <v>4-12-30</v>
          </cell>
          <cell r="B818">
            <v>1825</v>
          </cell>
          <cell r="C818">
            <v>1602</v>
          </cell>
          <cell r="D818">
            <v>1308</v>
          </cell>
          <cell r="E818">
            <v>1121</v>
          </cell>
          <cell r="F818">
            <v>933</v>
          </cell>
          <cell r="G818">
            <v>650</v>
          </cell>
          <cell r="H818">
            <v>367</v>
          </cell>
          <cell r="I818">
            <v>1159</v>
          </cell>
          <cell r="J818">
            <v>1005</v>
          </cell>
          <cell r="K818">
            <v>810</v>
          </cell>
          <cell r="L818">
            <v>691</v>
          </cell>
          <cell r="M818">
            <v>571</v>
          </cell>
          <cell r="N818">
            <v>396</v>
          </cell>
          <cell r="O818">
            <v>221</v>
          </cell>
          <cell r="P818">
            <v>1368</v>
          </cell>
          <cell r="Q818">
            <v>1226</v>
          </cell>
          <cell r="R818">
            <v>1024</v>
          </cell>
          <cell r="S818">
            <v>891</v>
          </cell>
          <cell r="T818">
            <v>758</v>
          </cell>
          <cell r="U818">
            <v>539</v>
          </cell>
          <cell r="V818">
            <v>320</v>
          </cell>
          <cell r="W818">
            <v>869</v>
          </cell>
          <cell r="X818">
            <v>769</v>
          </cell>
          <cell r="Y818">
            <v>634</v>
          </cell>
          <cell r="Z818">
            <v>549</v>
          </cell>
          <cell r="AA818">
            <v>464</v>
          </cell>
          <cell r="AB818">
            <v>329</v>
          </cell>
          <cell r="AC818">
            <v>193</v>
          </cell>
        </row>
        <row r="819">
          <cell r="A819" t="str">
            <v>5-7-30</v>
          </cell>
          <cell r="B819">
            <v>2390</v>
          </cell>
          <cell r="C819">
            <v>2065</v>
          </cell>
          <cell r="D819">
            <v>1664</v>
          </cell>
          <cell r="E819">
            <v>1423</v>
          </cell>
          <cell r="F819">
            <v>1182</v>
          </cell>
          <cell r="G819">
            <v>826</v>
          </cell>
          <cell r="H819">
            <v>470</v>
          </cell>
          <cell r="I819">
            <v>1386</v>
          </cell>
          <cell r="J819">
            <v>1192</v>
          </cell>
          <cell r="K819">
            <v>957</v>
          </cell>
          <cell r="L819">
            <v>817</v>
          </cell>
          <cell r="M819">
            <v>677</v>
          </cell>
          <cell r="N819">
            <v>473</v>
          </cell>
          <cell r="O819">
            <v>268</v>
          </cell>
          <cell r="P819">
            <v>1792</v>
          </cell>
          <cell r="Q819">
            <v>1580</v>
          </cell>
          <cell r="R819">
            <v>1302</v>
          </cell>
          <cell r="S819">
            <v>1131</v>
          </cell>
          <cell r="T819">
            <v>960</v>
          </cell>
          <cell r="U819">
            <v>685</v>
          </cell>
          <cell r="V819">
            <v>410</v>
          </cell>
          <cell r="W819">
            <v>1039</v>
          </cell>
          <cell r="X819">
            <v>912</v>
          </cell>
          <cell r="Y819">
            <v>749</v>
          </cell>
          <cell r="Z819">
            <v>650</v>
          </cell>
          <cell r="AA819">
            <v>550</v>
          </cell>
          <cell r="AB819">
            <v>392</v>
          </cell>
          <cell r="AC819">
            <v>234</v>
          </cell>
        </row>
        <row r="820">
          <cell r="A820" t="str">
            <v>5-8-30</v>
          </cell>
          <cell r="B820">
            <v>2282</v>
          </cell>
          <cell r="C820">
            <v>1977</v>
          </cell>
          <cell r="D820">
            <v>1595</v>
          </cell>
          <cell r="E820">
            <v>1364</v>
          </cell>
          <cell r="F820">
            <v>1133</v>
          </cell>
          <cell r="G820">
            <v>792</v>
          </cell>
          <cell r="H820">
            <v>450</v>
          </cell>
          <cell r="I820">
            <v>1340</v>
          </cell>
          <cell r="J820">
            <v>1153</v>
          </cell>
          <cell r="K820">
            <v>926</v>
          </cell>
          <cell r="L820">
            <v>790</v>
          </cell>
          <cell r="M820">
            <v>654</v>
          </cell>
          <cell r="N820">
            <v>457</v>
          </cell>
          <cell r="O820">
            <v>259</v>
          </cell>
          <cell r="P820">
            <v>1711</v>
          </cell>
          <cell r="Q820">
            <v>1513</v>
          </cell>
          <cell r="R820">
            <v>1249</v>
          </cell>
          <cell r="S820">
            <v>1085</v>
          </cell>
          <cell r="T820">
            <v>921</v>
          </cell>
          <cell r="U820">
            <v>657</v>
          </cell>
          <cell r="V820">
            <v>392</v>
          </cell>
          <cell r="W820">
            <v>1005</v>
          </cell>
          <cell r="X820">
            <v>883</v>
          </cell>
          <cell r="Y820">
            <v>725</v>
          </cell>
          <cell r="Z820">
            <v>629</v>
          </cell>
          <cell r="AA820">
            <v>532</v>
          </cell>
          <cell r="AB820">
            <v>379</v>
          </cell>
          <cell r="AC820">
            <v>225</v>
          </cell>
        </row>
        <row r="821">
          <cell r="A821" t="str">
            <v>5-9-30</v>
          </cell>
          <cell r="B821">
            <v>2173</v>
          </cell>
          <cell r="C821">
            <v>1887</v>
          </cell>
          <cell r="D821">
            <v>1527</v>
          </cell>
          <cell r="E821">
            <v>1306</v>
          </cell>
          <cell r="F821">
            <v>1084</v>
          </cell>
          <cell r="G821">
            <v>757</v>
          </cell>
          <cell r="H821">
            <v>429</v>
          </cell>
          <cell r="I821">
            <v>1294</v>
          </cell>
          <cell r="J821">
            <v>1116</v>
          </cell>
          <cell r="K821">
            <v>897</v>
          </cell>
          <cell r="L821">
            <v>765</v>
          </cell>
          <cell r="M821">
            <v>633</v>
          </cell>
          <cell r="N821">
            <v>441</v>
          </cell>
          <cell r="O821">
            <v>249</v>
          </cell>
          <cell r="P821">
            <v>1629</v>
          </cell>
          <cell r="Q821">
            <v>1444</v>
          </cell>
          <cell r="R821">
            <v>1196</v>
          </cell>
          <cell r="S821">
            <v>1039</v>
          </cell>
          <cell r="T821">
            <v>881</v>
          </cell>
          <cell r="U821">
            <v>628</v>
          </cell>
          <cell r="V821">
            <v>374</v>
          </cell>
          <cell r="W821">
            <v>970</v>
          </cell>
          <cell r="X821">
            <v>854</v>
          </cell>
          <cell r="Y821">
            <v>702</v>
          </cell>
          <cell r="Z821">
            <v>608</v>
          </cell>
          <cell r="AA821">
            <v>514</v>
          </cell>
          <cell r="AB821">
            <v>366</v>
          </cell>
          <cell r="AC821">
            <v>217</v>
          </cell>
        </row>
        <row r="822">
          <cell r="A822" t="str">
            <v>5-10-30</v>
          </cell>
          <cell r="B822">
            <v>2060</v>
          </cell>
          <cell r="C822">
            <v>1795</v>
          </cell>
          <cell r="D822">
            <v>1456</v>
          </cell>
          <cell r="E822">
            <v>1245</v>
          </cell>
          <cell r="F822">
            <v>1034</v>
          </cell>
          <cell r="G822">
            <v>722</v>
          </cell>
          <cell r="H822">
            <v>409</v>
          </cell>
          <cell r="I822">
            <v>1249</v>
          </cell>
          <cell r="J822">
            <v>1079</v>
          </cell>
          <cell r="K822">
            <v>867</v>
          </cell>
          <cell r="L822">
            <v>739</v>
          </cell>
          <cell r="M822">
            <v>610</v>
          </cell>
          <cell r="N822">
            <v>425</v>
          </cell>
          <cell r="O822">
            <v>239</v>
          </cell>
          <cell r="P822">
            <v>1544</v>
          </cell>
          <cell r="Q822">
            <v>1373</v>
          </cell>
          <cell r="R822">
            <v>1140</v>
          </cell>
          <cell r="S822">
            <v>990</v>
          </cell>
          <cell r="T822">
            <v>840</v>
          </cell>
          <cell r="U822">
            <v>598</v>
          </cell>
          <cell r="V822">
            <v>356</v>
          </cell>
          <cell r="W822">
            <v>936</v>
          </cell>
          <cell r="X822">
            <v>826</v>
          </cell>
          <cell r="Y822">
            <v>679</v>
          </cell>
          <cell r="Z822">
            <v>588</v>
          </cell>
          <cell r="AA822">
            <v>496</v>
          </cell>
          <cell r="AB822">
            <v>352</v>
          </cell>
          <cell r="AC822">
            <v>208</v>
          </cell>
        </row>
        <row r="823">
          <cell r="A823" t="str">
            <v>5-11-30</v>
          </cell>
          <cell r="B823">
            <v>1942</v>
          </cell>
          <cell r="C823">
            <v>1698</v>
          </cell>
          <cell r="D823">
            <v>1381</v>
          </cell>
          <cell r="E823">
            <v>1182</v>
          </cell>
          <cell r="F823">
            <v>983</v>
          </cell>
          <cell r="G823">
            <v>685</v>
          </cell>
          <cell r="H823">
            <v>387</v>
          </cell>
          <cell r="I823">
            <v>1203</v>
          </cell>
          <cell r="J823">
            <v>1040</v>
          </cell>
          <cell r="K823">
            <v>837</v>
          </cell>
          <cell r="L823">
            <v>714</v>
          </cell>
          <cell r="M823">
            <v>591</v>
          </cell>
          <cell r="N823">
            <v>411</v>
          </cell>
          <cell r="O823">
            <v>230</v>
          </cell>
          <cell r="P823">
            <v>1456</v>
          </cell>
          <cell r="Q823">
            <v>1299</v>
          </cell>
          <cell r="R823">
            <v>1081</v>
          </cell>
          <cell r="S823">
            <v>940</v>
          </cell>
          <cell r="T823">
            <v>798</v>
          </cell>
          <cell r="U823">
            <v>568</v>
          </cell>
          <cell r="V823">
            <v>337</v>
          </cell>
          <cell r="W823">
            <v>902</v>
          </cell>
          <cell r="X823">
            <v>796</v>
          </cell>
          <cell r="Y823">
            <v>655</v>
          </cell>
          <cell r="Z823">
            <v>567</v>
          </cell>
          <cell r="AA823">
            <v>479</v>
          </cell>
          <cell r="AB823">
            <v>340</v>
          </cell>
          <cell r="AC823">
            <v>200</v>
          </cell>
        </row>
        <row r="824">
          <cell r="A824" t="str">
            <v>5-12-30</v>
          </cell>
          <cell r="B824">
            <v>1820</v>
          </cell>
          <cell r="C824">
            <v>1597</v>
          </cell>
          <cell r="D824">
            <v>1302</v>
          </cell>
          <cell r="E824">
            <v>1115</v>
          </cell>
          <cell r="F824">
            <v>928</v>
          </cell>
          <cell r="G824">
            <v>647</v>
          </cell>
          <cell r="H824">
            <v>365</v>
          </cell>
          <cell r="I824">
            <v>1159</v>
          </cell>
          <cell r="J824">
            <v>1003</v>
          </cell>
          <cell r="K824">
            <v>808</v>
          </cell>
          <cell r="L824">
            <v>688</v>
          </cell>
          <cell r="M824">
            <v>568</v>
          </cell>
          <cell r="N824">
            <v>395</v>
          </cell>
          <cell r="O824">
            <v>221</v>
          </cell>
          <cell r="P824">
            <v>1364</v>
          </cell>
          <cell r="Q824">
            <v>1222</v>
          </cell>
          <cell r="R824">
            <v>1019</v>
          </cell>
          <cell r="S824">
            <v>887</v>
          </cell>
          <cell r="T824">
            <v>754</v>
          </cell>
          <cell r="U824">
            <v>536</v>
          </cell>
          <cell r="V824">
            <v>318</v>
          </cell>
          <cell r="W824">
            <v>868</v>
          </cell>
          <cell r="X824">
            <v>768</v>
          </cell>
          <cell r="Y824">
            <v>632</v>
          </cell>
          <cell r="Z824">
            <v>547</v>
          </cell>
          <cell r="AA824">
            <v>462</v>
          </cell>
          <cell r="AB824">
            <v>327</v>
          </cell>
          <cell r="AC824">
            <v>192</v>
          </cell>
        </row>
        <row r="825">
          <cell r="A825" t="str">
            <v>5-13-30</v>
          </cell>
          <cell r="B825">
            <v>1693</v>
          </cell>
          <cell r="C825">
            <v>1491</v>
          </cell>
          <cell r="D825">
            <v>1218</v>
          </cell>
          <cell r="E825">
            <v>1044</v>
          </cell>
          <cell r="F825">
            <v>869</v>
          </cell>
          <cell r="G825">
            <v>605</v>
          </cell>
          <cell r="H825">
            <v>340</v>
          </cell>
          <cell r="I825">
            <v>1112</v>
          </cell>
          <cell r="J825">
            <v>966</v>
          </cell>
          <cell r="K825">
            <v>778</v>
          </cell>
          <cell r="L825">
            <v>662</v>
          </cell>
          <cell r="M825">
            <v>545</v>
          </cell>
          <cell r="N825">
            <v>378</v>
          </cell>
          <cell r="O825">
            <v>211</v>
          </cell>
          <cell r="P825">
            <v>1269</v>
          </cell>
          <cell r="Q825">
            <v>1140</v>
          </cell>
          <cell r="R825">
            <v>953</v>
          </cell>
          <cell r="S825">
            <v>830</v>
          </cell>
          <cell r="T825">
            <v>706</v>
          </cell>
          <cell r="U825">
            <v>501</v>
          </cell>
          <cell r="V825">
            <v>296</v>
          </cell>
          <cell r="W825">
            <v>834</v>
          </cell>
          <cell r="X825">
            <v>738</v>
          </cell>
          <cell r="Y825">
            <v>608</v>
          </cell>
          <cell r="Z825">
            <v>526</v>
          </cell>
          <cell r="AA825">
            <v>443</v>
          </cell>
          <cell r="AB825">
            <v>314</v>
          </cell>
          <cell r="AC825">
            <v>184</v>
          </cell>
        </row>
        <row r="826">
          <cell r="A826" t="str">
            <v>6-8-30</v>
          </cell>
          <cell r="B826">
            <v>2282</v>
          </cell>
          <cell r="C826">
            <v>1975</v>
          </cell>
          <cell r="D826">
            <v>1592</v>
          </cell>
          <cell r="E826">
            <v>1360</v>
          </cell>
          <cell r="F826">
            <v>1128</v>
          </cell>
          <cell r="G826">
            <v>788</v>
          </cell>
          <cell r="H826">
            <v>447</v>
          </cell>
          <cell r="I826">
            <v>1340</v>
          </cell>
          <cell r="J826">
            <v>1153</v>
          </cell>
          <cell r="K826">
            <v>924</v>
          </cell>
          <cell r="L826">
            <v>788</v>
          </cell>
          <cell r="M826">
            <v>652</v>
          </cell>
          <cell r="N826">
            <v>455</v>
          </cell>
          <cell r="O826">
            <v>257</v>
          </cell>
          <cell r="P826">
            <v>1711</v>
          </cell>
          <cell r="Q826">
            <v>1511</v>
          </cell>
          <cell r="R826">
            <v>1246</v>
          </cell>
          <cell r="S826">
            <v>1082</v>
          </cell>
          <cell r="T826">
            <v>917</v>
          </cell>
          <cell r="U826">
            <v>653</v>
          </cell>
          <cell r="V826">
            <v>389</v>
          </cell>
          <cell r="W826">
            <v>1005</v>
          </cell>
          <cell r="X826">
            <v>882</v>
          </cell>
          <cell r="Y826">
            <v>723</v>
          </cell>
          <cell r="Z826">
            <v>627</v>
          </cell>
          <cell r="AA826">
            <v>530</v>
          </cell>
          <cell r="AB826">
            <v>377</v>
          </cell>
          <cell r="AC826">
            <v>224</v>
          </cell>
        </row>
        <row r="827">
          <cell r="A827" t="str">
            <v>6-9-30</v>
          </cell>
          <cell r="B827">
            <v>2170</v>
          </cell>
          <cell r="C827">
            <v>1884</v>
          </cell>
          <cell r="D827">
            <v>1521</v>
          </cell>
          <cell r="E827">
            <v>1300</v>
          </cell>
          <cell r="F827">
            <v>1079</v>
          </cell>
          <cell r="G827">
            <v>752</v>
          </cell>
          <cell r="H827">
            <v>425</v>
          </cell>
          <cell r="I827">
            <v>1293</v>
          </cell>
          <cell r="J827">
            <v>1114</v>
          </cell>
          <cell r="K827">
            <v>894</v>
          </cell>
          <cell r="L827">
            <v>762</v>
          </cell>
          <cell r="M827">
            <v>630</v>
          </cell>
          <cell r="N827">
            <v>439</v>
          </cell>
          <cell r="O827">
            <v>247</v>
          </cell>
          <cell r="P827">
            <v>1627</v>
          </cell>
          <cell r="Q827">
            <v>1441</v>
          </cell>
          <cell r="R827">
            <v>1191</v>
          </cell>
          <cell r="S827">
            <v>1034</v>
          </cell>
          <cell r="T827">
            <v>877</v>
          </cell>
          <cell r="U827">
            <v>624</v>
          </cell>
          <cell r="V827">
            <v>370</v>
          </cell>
          <cell r="W827">
            <v>970</v>
          </cell>
          <cell r="X827">
            <v>852</v>
          </cell>
          <cell r="Y827">
            <v>700</v>
          </cell>
          <cell r="Z827">
            <v>606</v>
          </cell>
          <cell r="AA827">
            <v>512</v>
          </cell>
          <cell r="AB827">
            <v>364</v>
          </cell>
          <cell r="AC827">
            <v>215</v>
          </cell>
        </row>
        <row r="828">
          <cell r="A828" t="str">
            <v>6-10-30</v>
          </cell>
          <cell r="B828">
            <v>2055</v>
          </cell>
          <cell r="C828">
            <v>1789</v>
          </cell>
          <cell r="D828">
            <v>1449</v>
          </cell>
          <cell r="E828">
            <v>1239</v>
          </cell>
          <cell r="F828">
            <v>1029</v>
          </cell>
          <cell r="G828">
            <v>717</v>
          </cell>
          <cell r="H828">
            <v>404</v>
          </cell>
          <cell r="I828">
            <v>1247</v>
          </cell>
          <cell r="J828">
            <v>1077</v>
          </cell>
          <cell r="K828">
            <v>865</v>
          </cell>
          <cell r="L828">
            <v>737</v>
          </cell>
          <cell r="M828">
            <v>609</v>
          </cell>
          <cell r="N828">
            <v>424</v>
          </cell>
          <cell r="O828">
            <v>238</v>
          </cell>
          <cell r="P828">
            <v>1541</v>
          </cell>
          <cell r="Q828">
            <v>1369</v>
          </cell>
          <cell r="R828">
            <v>1135</v>
          </cell>
          <cell r="S828">
            <v>986</v>
          </cell>
          <cell r="T828">
            <v>836</v>
          </cell>
          <cell r="U828">
            <v>594</v>
          </cell>
          <cell r="V828">
            <v>352</v>
          </cell>
          <cell r="W828">
            <v>935</v>
          </cell>
          <cell r="X828">
            <v>824</v>
          </cell>
          <cell r="Y828">
            <v>678</v>
          </cell>
          <cell r="Z828">
            <v>587</v>
          </cell>
          <cell r="AA828">
            <v>495</v>
          </cell>
          <cell r="AB828">
            <v>351</v>
          </cell>
          <cell r="AC828">
            <v>207</v>
          </cell>
        </row>
        <row r="829">
          <cell r="A829" t="str">
            <v>6-11-30</v>
          </cell>
          <cell r="B829">
            <v>1938</v>
          </cell>
          <cell r="C829">
            <v>1692</v>
          </cell>
          <cell r="D829">
            <v>1375</v>
          </cell>
          <cell r="E829">
            <v>1176</v>
          </cell>
          <cell r="F829">
            <v>977</v>
          </cell>
          <cell r="G829">
            <v>681</v>
          </cell>
          <cell r="H829">
            <v>384</v>
          </cell>
          <cell r="I829">
            <v>1201</v>
          </cell>
          <cell r="J829">
            <v>1038</v>
          </cell>
          <cell r="K829">
            <v>836</v>
          </cell>
          <cell r="L829">
            <v>712</v>
          </cell>
          <cell r="M829">
            <v>588</v>
          </cell>
          <cell r="N829">
            <v>409</v>
          </cell>
          <cell r="O829">
            <v>229</v>
          </cell>
          <cell r="P829">
            <v>1453</v>
          </cell>
          <cell r="Q829">
            <v>1295</v>
          </cell>
          <cell r="R829">
            <v>1076</v>
          </cell>
          <cell r="S829">
            <v>935</v>
          </cell>
          <cell r="T829">
            <v>793</v>
          </cell>
          <cell r="U829">
            <v>564</v>
          </cell>
          <cell r="V829">
            <v>334</v>
          </cell>
          <cell r="W829">
            <v>901</v>
          </cell>
          <cell r="X829">
            <v>794</v>
          </cell>
          <cell r="Y829">
            <v>654</v>
          </cell>
          <cell r="Z829">
            <v>566</v>
          </cell>
          <cell r="AA829">
            <v>477</v>
          </cell>
          <cell r="AB829">
            <v>338</v>
          </cell>
          <cell r="AC829">
            <v>199</v>
          </cell>
        </row>
        <row r="830">
          <cell r="A830" t="str">
            <v>6-12-30</v>
          </cell>
          <cell r="B830">
            <v>1815</v>
          </cell>
          <cell r="C830">
            <v>1591</v>
          </cell>
          <cell r="D830">
            <v>1296</v>
          </cell>
          <cell r="E830">
            <v>1110</v>
          </cell>
          <cell r="F830">
            <v>923</v>
          </cell>
          <cell r="G830">
            <v>642</v>
          </cell>
          <cell r="H830">
            <v>361</v>
          </cell>
          <cell r="I830">
            <v>1157</v>
          </cell>
          <cell r="J830">
            <v>1002</v>
          </cell>
          <cell r="K830">
            <v>806</v>
          </cell>
          <cell r="L830">
            <v>686</v>
          </cell>
          <cell r="M830">
            <v>566</v>
          </cell>
          <cell r="N830">
            <v>393</v>
          </cell>
          <cell r="O830">
            <v>219</v>
          </cell>
          <cell r="P830">
            <v>1361</v>
          </cell>
          <cell r="Q830">
            <v>1217</v>
          </cell>
          <cell r="R830">
            <v>1015</v>
          </cell>
          <cell r="S830">
            <v>883</v>
          </cell>
          <cell r="T830">
            <v>750</v>
          </cell>
          <cell r="U830">
            <v>533</v>
          </cell>
          <cell r="V830">
            <v>315</v>
          </cell>
          <cell r="W830">
            <v>867</v>
          </cell>
          <cell r="X830">
            <v>766</v>
          </cell>
          <cell r="Y830">
            <v>631</v>
          </cell>
          <cell r="Z830">
            <v>546</v>
          </cell>
          <cell r="AA830">
            <v>460</v>
          </cell>
          <cell r="AB830">
            <v>326</v>
          </cell>
          <cell r="AC830">
            <v>191</v>
          </cell>
        </row>
        <row r="831">
          <cell r="A831" t="str">
            <v>6-13-30</v>
          </cell>
          <cell r="B831">
            <v>1688</v>
          </cell>
          <cell r="C831">
            <v>1485</v>
          </cell>
          <cell r="D831">
            <v>1215</v>
          </cell>
          <cell r="E831">
            <v>1040</v>
          </cell>
          <cell r="F831">
            <v>865</v>
          </cell>
          <cell r="G831">
            <v>602</v>
          </cell>
          <cell r="H831">
            <v>338</v>
          </cell>
          <cell r="I831">
            <v>1110</v>
          </cell>
          <cell r="J831">
            <v>963</v>
          </cell>
          <cell r="K831">
            <v>777</v>
          </cell>
          <cell r="L831">
            <v>661</v>
          </cell>
          <cell r="M831">
            <v>544</v>
          </cell>
          <cell r="N831">
            <v>377</v>
          </cell>
          <cell r="O831">
            <v>210</v>
          </cell>
          <cell r="P831">
            <v>1265</v>
          </cell>
          <cell r="Q831">
            <v>1136</v>
          </cell>
          <cell r="R831">
            <v>951</v>
          </cell>
          <cell r="S831">
            <v>827</v>
          </cell>
          <cell r="T831">
            <v>703</v>
          </cell>
          <cell r="U831">
            <v>499</v>
          </cell>
          <cell r="V831">
            <v>294</v>
          </cell>
          <cell r="W831">
            <v>832</v>
          </cell>
          <cell r="X831">
            <v>737</v>
          </cell>
          <cell r="Y831">
            <v>608</v>
          </cell>
          <cell r="Z831">
            <v>525</v>
          </cell>
          <cell r="AA831">
            <v>442</v>
          </cell>
          <cell r="AB831">
            <v>312</v>
          </cell>
          <cell r="AC831">
            <v>182</v>
          </cell>
        </row>
        <row r="832">
          <cell r="A832" t="str">
            <v>6-14-30</v>
          </cell>
          <cell r="B832">
            <v>1550</v>
          </cell>
          <cell r="C832">
            <v>1368</v>
          </cell>
          <cell r="D832">
            <v>1123</v>
          </cell>
          <cell r="E832">
            <v>962</v>
          </cell>
          <cell r="F832">
            <v>800</v>
          </cell>
          <cell r="G832">
            <v>556</v>
          </cell>
          <cell r="H832">
            <v>311</v>
          </cell>
          <cell r="I832">
            <v>1062</v>
          </cell>
          <cell r="J832">
            <v>921</v>
          </cell>
          <cell r="K832">
            <v>745</v>
          </cell>
          <cell r="L832">
            <v>634</v>
          </cell>
          <cell r="M832">
            <v>522</v>
          </cell>
          <cell r="N832">
            <v>361</v>
          </cell>
          <cell r="O832">
            <v>199</v>
          </cell>
          <cell r="P832">
            <v>1162</v>
          </cell>
          <cell r="Q832">
            <v>1047</v>
          </cell>
          <cell r="R832">
            <v>879</v>
          </cell>
          <cell r="S832">
            <v>765</v>
          </cell>
          <cell r="T832">
            <v>650</v>
          </cell>
          <cell r="U832">
            <v>461</v>
          </cell>
          <cell r="V832">
            <v>271</v>
          </cell>
          <cell r="W832">
            <v>796</v>
          </cell>
          <cell r="X832">
            <v>705</v>
          </cell>
          <cell r="Y832">
            <v>583</v>
          </cell>
          <cell r="Z832">
            <v>504</v>
          </cell>
          <cell r="AA832">
            <v>424</v>
          </cell>
          <cell r="AB832">
            <v>299</v>
          </cell>
          <cell r="AC832">
            <v>173</v>
          </cell>
        </row>
        <row r="833">
          <cell r="A833" t="str">
            <v>7-9-30</v>
          </cell>
          <cell r="B833">
            <v>2169</v>
          </cell>
          <cell r="C833">
            <v>1880</v>
          </cell>
          <cell r="D833">
            <v>1516</v>
          </cell>
          <cell r="E833">
            <v>1295</v>
          </cell>
          <cell r="F833">
            <v>1073</v>
          </cell>
          <cell r="G833">
            <v>747</v>
          </cell>
          <cell r="H833">
            <v>421</v>
          </cell>
          <cell r="I833">
            <v>1292</v>
          </cell>
          <cell r="J833">
            <v>1113</v>
          </cell>
          <cell r="K833">
            <v>892</v>
          </cell>
          <cell r="L833">
            <v>760</v>
          </cell>
          <cell r="M833">
            <v>628</v>
          </cell>
          <cell r="N833">
            <v>437</v>
          </cell>
          <cell r="O833">
            <v>245</v>
          </cell>
          <cell r="P833">
            <v>1626</v>
          </cell>
          <cell r="Q833">
            <v>1439</v>
          </cell>
          <cell r="R833">
            <v>1187</v>
          </cell>
          <cell r="S833">
            <v>1030</v>
          </cell>
          <cell r="T833">
            <v>872</v>
          </cell>
          <cell r="U833">
            <v>620</v>
          </cell>
          <cell r="V833">
            <v>367</v>
          </cell>
          <cell r="W833">
            <v>969</v>
          </cell>
          <cell r="X833">
            <v>852</v>
          </cell>
          <cell r="Y833">
            <v>698</v>
          </cell>
          <cell r="Z833">
            <v>604</v>
          </cell>
          <cell r="AA833">
            <v>510</v>
          </cell>
          <cell r="AB833">
            <v>362</v>
          </cell>
          <cell r="AC833">
            <v>214</v>
          </cell>
        </row>
        <row r="834">
          <cell r="A834" t="str">
            <v>7-10-30</v>
          </cell>
          <cell r="B834">
            <v>2052</v>
          </cell>
          <cell r="C834">
            <v>1784</v>
          </cell>
          <cell r="D834">
            <v>1444</v>
          </cell>
          <cell r="E834">
            <v>1234</v>
          </cell>
          <cell r="F834">
            <v>1023</v>
          </cell>
          <cell r="G834">
            <v>712</v>
          </cell>
          <cell r="H834">
            <v>401</v>
          </cell>
          <cell r="I834">
            <v>1245</v>
          </cell>
          <cell r="J834">
            <v>1074</v>
          </cell>
          <cell r="K834">
            <v>862</v>
          </cell>
          <cell r="L834">
            <v>735</v>
          </cell>
          <cell r="M834">
            <v>607</v>
          </cell>
          <cell r="N834">
            <v>422</v>
          </cell>
          <cell r="O834">
            <v>236</v>
          </cell>
          <cell r="P834">
            <v>1538</v>
          </cell>
          <cell r="Q834">
            <v>1365</v>
          </cell>
          <cell r="R834">
            <v>1130</v>
          </cell>
          <cell r="S834">
            <v>981</v>
          </cell>
          <cell r="T834">
            <v>831</v>
          </cell>
          <cell r="U834">
            <v>590</v>
          </cell>
          <cell r="V834">
            <v>349</v>
          </cell>
          <cell r="W834">
            <v>933</v>
          </cell>
          <cell r="X834">
            <v>822</v>
          </cell>
          <cell r="Y834">
            <v>675</v>
          </cell>
          <cell r="Z834">
            <v>584</v>
          </cell>
          <cell r="AA834">
            <v>493</v>
          </cell>
          <cell r="AB834">
            <v>350</v>
          </cell>
          <cell r="AC834">
            <v>206</v>
          </cell>
        </row>
        <row r="835">
          <cell r="A835" t="str">
            <v>7-11-30</v>
          </cell>
          <cell r="B835">
            <v>1932</v>
          </cell>
          <cell r="C835">
            <v>1687</v>
          </cell>
          <cell r="D835">
            <v>1368</v>
          </cell>
          <cell r="E835">
            <v>1169</v>
          </cell>
          <cell r="F835">
            <v>970</v>
          </cell>
          <cell r="G835">
            <v>675</v>
          </cell>
          <cell r="H835">
            <v>379</v>
          </cell>
          <cell r="I835">
            <v>1200</v>
          </cell>
          <cell r="J835">
            <v>1037</v>
          </cell>
          <cell r="K835">
            <v>832</v>
          </cell>
          <cell r="L835">
            <v>709</v>
          </cell>
          <cell r="M835">
            <v>585</v>
          </cell>
          <cell r="N835">
            <v>406</v>
          </cell>
          <cell r="O835">
            <v>227</v>
          </cell>
          <cell r="P835">
            <v>1449</v>
          </cell>
          <cell r="Q835">
            <v>1290</v>
          </cell>
          <cell r="R835">
            <v>1071</v>
          </cell>
          <cell r="S835">
            <v>930</v>
          </cell>
          <cell r="T835">
            <v>788</v>
          </cell>
          <cell r="U835">
            <v>559</v>
          </cell>
          <cell r="V835">
            <v>330</v>
          </cell>
          <cell r="W835">
            <v>900</v>
          </cell>
          <cell r="X835">
            <v>793</v>
          </cell>
          <cell r="Y835">
            <v>652</v>
          </cell>
          <cell r="Z835">
            <v>564</v>
          </cell>
          <cell r="AA835">
            <v>475</v>
          </cell>
          <cell r="AB835">
            <v>337</v>
          </cell>
          <cell r="AC835">
            <v>198</v>
          </cell>
        </row>
        <row r="836">
          <cell r="A836" t="str">
            <v>7-12-30</v>
          </cell>
          <cell r="B836">
            <v>1810</v>
          </cell>
          <cell r="C836">
            <v>1585</v>
          </cell>
          <cell r="D836">
            <v>1290</v>
          </cell>
          <cell r="E836">
            <v>1104</v>
          </cell>
          <cell r="F836">
            <v>917</v>
          </cell>
          <cell r="G836">
            <v>638</v>
          </cell>
          <cell r="H836">
            <v>358</v>
          </cell>
          <cell r="I836">
            <v>1155</v>
          </cell>
          <cell r="J836">
            <v>998</v>
          </cell>
          <cell r="K836">
            <v>803</v>
          </cell>
          <cell r="L836">
            <v>683</v>
          </cell>
          <cell r="M836">
            <v>563</v>
          </cell>
          <cell r="N836">
            <v>390</v>
          </cell>
          <cell r="O836">
            <v>217</v>
          </cell>
          <cell r="P836">
            <v>1357</v>
          </cell>
          <cell r="Q836">
            <v>1213</v>
          </cell>
          <cell r="R836">
            <v>1010</v>
          </cell>
          <cell r="S836">
            <v>878</v>
          </cell>
          <cell r="T836">
            <v>745</v>
          </cell>
          <cell r="U836">
            <v>529</v>
          </cell>
          <cell r="V836">
            <v>312</v>
          </cell>
          <cell r="W836">
            <v>866</v>
          </cell>
          <cell r="X836">
            <v>764</v>
          </cell>
          <cell r="Y836">
            <v>629</v>
          </cell>
          <cell r="Z836">
            <v>544</v>
          </cell>
          <cell r="AA836">
            <v>458</v>
          </cell>
          <cell r="AB836">
            <v>324</v>
          </cell>
          <cell r="AC836">
            <v>189</v>
          </cell>
        </row>
        <row r="837">
          <cell r="A837" t="str">
            <v>7-13-30</v>
          </cell>
          <cell r="B837">
            <v>1682</v>
          </cell>
          <cell r="C837">
            <v>1478</v>
          </cell>
          <cell r="D837">
            <v>1207</v>
          </cell>
          <cell r="E837">
            <v>1033</v>
          </cell>
          <cell r="F837">
            <v>859</v>
          </cell>
          <cell r="G837">
            <v>597</v>
          </cell>
          <cell r="H837">
            <v>335</v>
          </cell>
          <cell r="I837">
            <v>1108</v>
          </cell>
          <cell r="J837">
            <v>961</v>
          </cell>
          <cell r="K837">
            <v>774</v>
          </cell>
          <cell r="L837">
            <v>659</v>
          </cell>
          <cell r="M837">
            <v>543</v>
          </cell>
          <cell r="N837">
            <v>376</v>
          </cell>
          <cell r="O837">
            <v>208</v>
          </cell>
          <cell r="P837">
            <v>1261</v>
          </cell>
          <cell r="Q837">
            <v>1131</v>
          </cell>
          <cell r="R837">
            <v>945</v>
          </cell>
          <cell r="S837">
            <v>821</v>
          </cell>
          <cell r="T837">
            <v>697</v>
          </cell>
          <cell r="U837">
            <v>494</v>
          </cell>
          <cell r="V837">
            <v>291</v>
          </cell>
          <cell r="W837">
            <v>831</v>
          </cell>
          <cell r="X837">
            <v>735</v>
          </cell>
          <cell r="Y837">
            <v>606</v>
          </cell>
          <cell r="Z837">
            <v>524</v>
          </cell>
          <cell r="AA837">
            <v>441</v>
          </cell>
          <cell r="AB837">
            <v>311</v>
          </cell>
          <cell r="AC837">
            <v>181</v>
          </cell>
        </row>
        <row r="838">
          <cell r="A838" t="str">
            <v>7-14-30</v>
          </cell>
          <cell r="B838">
            <v>1545</v>
          </cell>
          <cell r="C838">
            <v>1364</v>
          </cell>
          <cell r="D838">
            <v>1118</v>
          </cell>
          <cell r="E838">
            <v>958</v>
          </cell>
          <cell r="F838">
            <v>797</v>
          </cell>
          <cell r="G838">
            <v>554</v>
          </cell>
          <cell r="H838">
            <v>310</v>
          </cell>
          <cell r="I838">
            <v>1061</v>
          </cell>
          <cell r="J838">
            <v>921</v>
          </cell>
          <cell r="K838">
            <v>742</v>
          </cell>
          <cell r="L838">
            <v>631</v>
          </cell>
          <cell r="M838">
            <v>520</v>
          </cell>
          <cell r="N838">
            <v>359</v>
          </cell>
          <cell r="O838">
            <v>198</v>
          </cell>
          <cell r="P838">
            <v>1158</v>
          </cell>
          <cell r="Q838">
            <v>1044</v>
          </cell>
          <cell r="R838">
            <v>876</v>
          </cell>
          <cell r="S838">
            <v>762</v>
          </cell>
          <cell r="T838">
            <v>648</v>
          </cell>
          <cell r="U838">
            <v>459</v>
          </cell>
          <cell r="V838">
            <v>270</v>
          </cell>
          <cell r="W838">
            <v>795</v>
          </cell>
          <cell r="X838">
            <v>705</v>
          </cell>
          <cell r="Y838">
            <v>581</v>
          </cell>
          <cell r="Z838">
            <v>502</v>
          </cell>
          <cell r="AA838">
            <v>423</v>
          </cell>
          <cell r="AB838">
            <v>298</v>
          </cell>
          <cell r="AC838">
            <v>173</v>
          </cell>
        </row>
        <row r="839">
          <cell r="A839" t="str">
            <v>7-15-30</v>
          </cell>
          <cell r="B839">
            <v>1399</v>
          </cell>
          <cell r="C839">
            <v>1240</v>
          </cell>
          <cell r="D839">
            <v>1021</v>
          </cell>
          <cell r="E839">
            <v>875</v>
          </cell>
          <cell r="F839">
            <v>728</v>
          </cell>
          <cell r="G839">
            <v>505</v>
          </cell>
          <cell r="H839">
            <v>281</v>
          </cell>
          <cell r="I839">
            <v>1012</v>
          </cell>
          <cell r="J839">
            <v>881</v>
          </cell>
          <cell r="K839">
            <v>709</v>
          </cell>
          <cell r="L839">
            <v>603</v>
          </cell>
          <cell r="M839">
            <v>496</v>
          </cell>
          <cell r="N839">
            <v>342</v>
          </cell>
          <cell r="O839">
            <v>188</v>
          </cell>
          <cell r="P839">
            <v>1049</v>
          </cell>
          <cell r="Q839">
            <v>948</v>
          </cell>
          <cell r="R839">
            <v>799</v>
          </cell>
          <cell r="S839">
            <v>696</v>
          </cell>
          <cell r="T839">
            <v>592</v>
          </cell>
          <cell r="U839">
            <v>419</v>
          </cell>
          <cell r="V839">
            <v>245</v>
          </cell>
          <cell r="W839">
            <v>759</v>
          </cell>
          <cell r="X839">
            <v>674</v>
          </cell>
          <cell r="Y839">
            <v>555</v>
          </cell>
          <cell r="Z839">
            <v>479</v>
          </cell>
          <cell r="AA839">
            <v>403</v>
          </cell>
          <cell r="AB839">
            <v>284</v>
          </cell>
          <cell r="AC839">
            <v>164</v>
          </cell>
        </row>
        <row r="840">
          <cell r="A840" t="str">
            <v>8-10-30</v>
          </cell>
          <cell r="B840">
            <v>2050</v>
          </cell>
          <cell r="C840">
            <v>1780</v>
          </cell>
          <cell r="D840">
            <v>1437</v>
          </cell>
          <cell r="E840">
            <v>1227</v>
          </cell>
          <cell r="F840">
            <v>1017</v>
          </cell>
          <cell r="G840">
            <v>707</v>
          </cell>
          <cell r="H840">
            <v>397</v>
          </cell>
          <cell r="I840">
            <v>1244</v>
          </cell>
          <cell r="J840">
            <v>1073</v>
          </cell>
          <cell r="K840">
            <v>860</v>
          </cell>
          <cell r="L840">
            <v>732</v>
          </cell>
          <cell r="M840">
            <v>603</v>
          </cell>
          <cell r="N840">
            <v>419</v>
          </cell>
          <cell r="O840">
            <v>235</v>
          </cell>
          <cell r="P840">
            <v>1537</v>
          </cell>
          <cell r="Q840">
            <v>1362</v>
          </cell>
          <cell r="R840">
            <v>1125</v>
          </cell>
          <cell r="S840">
            <v>976</v>
          </cell>
          <cell r="T840">
            <v>826</v>
          </cell>
          <cell r="U840">
            <v>586</v>
          </cell>
          <cell r="V840">
            <v>346</v>
          </cell>
          <cell r="W840">
            <v>933</v>
          </cell>
          <cell r="X840">
            <v>821</v>
          </cell>
          <cell r="Y840">
            <v>673</v>
          </cell>
          <cell r="Z840">
            <v>582</v>
          </cell>
          <cell r="AA840">
            <v>490</v>
          </cell>
          <cell r="AB840">
            <v>348</v>
          </cell>
          <cell r="AC840">
            <v>205</v>
          </cell>
        </row>
        <row r="841">
          <cell r="A841" t="str">
            <v>8-11-30</v>
          </cell>
          <cell r="B841">
            <v>1928</v>
          </cell>
          <cell r="C841">
            <v>1681</v>
          </cell>
          <cell r="D841">
            <v>1362</v>
          </cell>
          <cell r="E841">
            <v>1163</v>
          </cell>
          <cell r="F841">
            <v>964</v>
          </cell>
          <cell r="G841">
            <v>670</v>
          </cell>
          <cell r="H841">
            <v>376</v>
          </cell>
          <cell r="I841">
            <v>1198</v>
          </cell>
          <cell r="J841">
            <v>1035</v>
          </cell>
          <cell r="K841">
            <v>830</v>
          </cell>
          <cell r="L841">
            <v>706</v>
          </cell>
          <cell r="M841">
            <v>582</v>
          </cell>
          <cell r="N841">
            <v>404</v>
          </cell>
          <cell r="O841">
            <v>225</v>
          </cell>
          <cell r="P841">
            <v>1446</v>
          </cell>
          <cell r="Q841">
            <v>1286</v>
          </cell>
          <cell r="R841">
            <v>1066</v>
          </cell>
          <cell r="S841">
            <v>925</v>
          </cell>
          <cell r="T841">
            <v>783</v>
          </cell>
          <cell r="U841">
            <v>556</v>
          </cell>
          <cell r="V841">
            <v>328</v>
          </cell>
          <cell r="W841">
            <v>898</v>
          </cell>
          <cell r="X841">
            <v>792</v>
          </cell>
          <cell r="Y841">
            <v>650</v>
          </cell>
          <cell r="Z841">
            <v>561</v>
          </cell>
          <cell r="AA841">
            <v>472</v>
          </cell>
          <cell r="AB841">
            <v>334</v>
          </cell>
          <cell r="AC841">
            <v>196</v>
          </cell>
        </row>
        <row r="842">
          <cell r="A842" t="str">
            <v>8-12-30</v>
          </cell>
          <cell r="B842">
            <v>1803</v>
          </cell>
          <cell r="C842">
            <v>1578</v>
          </cell>
          <cell r="D842">
            <v>1282</v>
          </cell>
          <cell r="E842">
            <v>1096</v>
          </cell>
          <cell r="F842">
            <v>909</v>
          </cell>
          <cell r="G842">
            <v>632</v>
          </cell>
          <cell r="H842">
            <v>355</v>
          </cell>
          <cell r="I842">
            <v>1152</v>
          </cell>
          <cell r="J842">
            <v>996</v>
          </cell>
          <cell r="K842">
            <v>800</v>
          </cell>
          <cell r="L842">
            <v>681</v>
          </cell>
          <cell r="M842">
            <v>562</v>
          </cell>
          <cell r="N842">
            <v>390</v>
          </cell>
          <cell r="O842">
            <v>217</v>
          </cell>
          <cell r="P842">
            <v>1352</v>
          </cell>
          <cell r="Q842">
            <v>1207</v>
          </cell>
          <cell r="R842">
            <v>1004</v>
          </cell>
          <cell r="S842">
            <v>871</v>
          </cell>
          <cell r="T842">
            <v>738</v>
          </cell>
          <cell r="U842">
            <v>524</v>
          </cell>
          <cell r="V842">
            <v>309</v>
          </cell>
          <cell r="W842">
            <v>864</v>
          </cell>
          <cell r="X842">
            <v>762</v>
          </cell>
          <cell r="Y842">
            <v>627</v>
          </cell>
          <cell r="Z842">
            <v>542</v>
          </cell>
          <cell r="AA842">
            <v>456</v>
          </cell>
          <cell r="AB842">
            <v>323</v>
          </cell>
          <cell r="AC842">
            <v>189</v>
          </cell>
        </row>
        <row r="843">
          <cell r="A843" t="str">
            <v>8-13-30</v>
          </cell>
          <cell r="B843">
            <v>1675</v>
          </cell>
          <cell r="C843">
            <v>1471</v>
          </cell>
          <cell r="D843">
            <v>1200</v>
          </cell>
          <cell r="E843">
            <v>1027</v>
          </cell>
          <cell r="F843">
            <v>853</v>
          </cell>
          <cell r="G843">
            <v>592</v>
          </cell>
          <cell r="H843">
            <v>331</v>
          </cell>
          <cell r="I843">
            <v>1106</v>
          </cell>
          <cell r="J843">
            <v>958</v>
          </cell>
          <cell r="K843">
            <v>772</v>
          </cell>
          <cell r="L843">
            <v>656</v>
          </cell>
          <cell r="M843">
            <v>539</v>
          </cell>
          <cell r="N843">
            <v>373</v>
          </cell>
          <cell r="O843">
            <v>207</v>
          </cell>
          <cell r="P843">
            <v>1255</v>
          </cell>
          <cell r="Q843">
            <v>1125</v>
          </cell>
          <cell r="R843">
            <v>939</v>
          </cell>
          <cell r="S843">
            <v>816</v>
          </cell>
          <cell r="T843">
            <v>693</v>
          </cell>
          <cell r="U843">
            <v>491</v>
          </cell>
          <cell r="V843">
            <v>288</v>
          </cell>
          <cell r="W843">
            <v>828</v>
          </cell>
          <cell r="X843">
            <v>733</v>
          </cell>
          <cell r="Y843">
            <v>604</v>
          </cell>
          <cell r="Z843">
            <v>521</v>
          </cell>
          <cell r="AA843">
            <v>438</v>
          </cell>
          <cell r="AB843">
            <v>309</v>
          </cell>
          <cell r="AC843">
            <v>180</v>
          </cell>
        </row>
        <row r="844">
          <cell r="A844" t="str">
            <v>8-14-30</v>
          </cell>
          <cell r="B844">
            <v>1540</v>
          </cell>
          <cell r="C844">
            <v>1358</v>
          </cell>
          <cell r="D844">
            <v>1112</v>
          </cell>
          <cell r="E844">
            <v>952</v>
          </cell>
          <cell r="F844">
            <v>792</v>
          </cell>
          <cell r="G844">
            <v>550</v>
          </cell>
          <cell r="H844">
            <v>307</v>
          </cell>
          <cell r="I844">
            <v>1059</v>
          </cell>
          <cell r="J844">
            <v>919</v>
          </cell>
          <cell r="K844">
            <v>741</v>
          </cell>
          <cell r="L844">
            <v>630</v>
          </cell>
          <cell r="M844">
            <v>519</v>
          </cell>
          <cell r="N844">
            <v>358</v>
          </cell>
          <cell r="O844">
            <v>197</v>
          </cell>
          <cell r="P844">
            <v>1154</v>
          </cell>
          <cell r="Q844">
            <v>1039</v>
          </cell>
          <cell r="R844">
            <v>871</v>
          </cell>
          <cell r="S844">
            <v>758</v>
          </cell>
          <cell r="T844">
            <v>644</v>
          </cell>
          <cell r="U844">
            <v>456</v>
          </cell>
          <cell r="V844">
            <v>268</v>
          </cell>
          <cell r="W844">
            <v>793</v>
          </cell>
          <cell r="X844">
            <v>703</v>
          </cell>
          <cell r="Y844">
            <v>580</v>
          </cell>
          <cell r="Z844">
            <v>501</v>
          </cell>
          <cell r="AA844">
            <v>422</v>
          </cell>
          <cell r="AB844">
            <v>297</v>
          </cell>
          <cell r="AC844">
            <v>172</v>
          </cell>
        </row>
        <row r="845">
          <cell r="A845" t="str">
            <v>8-15-30</v>
          </cell>
          <cell r="B845">
            <v>1395</v>
          </cell>
          <cell r="C845">
            <v>1236</v>
          </cell>
          <cell r="D845">
            <v>1016</v>
          </cell>
          <cell r="E845">
            <v>871</v>
          </cell>
          <cell r="F845">
            <v>725</v>
          </cell>
          <cell r="G845">
            <v>503</v>
          </cell>
          <cell r="H845">
            <v>280</v>
          </cell>
          <cell r="I845">
            <v>1011</v>
          </cell>
          <cell r="J845">
            <v>879</v>
          </cell>
          <cell r="K845">
            <v>709</v>
          </cell>
          <cell r="L845">
            <v>602</v>
          </cell>
          <cell r="M845">
            <v>495</v>
          </cell>
          <cell r="N845">
            <v>342</v>
          </cell>
          <cell r="O845">
            <v>188</v>
          </cell>
          <cell r="P845">
            <v>1046</v>
          </cell>
          <cell r="Q845">
            <v>945</v>
          </cell>
          <cell r="R845">
            <v>795</v>
          </cell>
          <cell r="S845">
            <v>692</v>
          </cell>
          <cell r="T845">
            <v>589</v>
          </cell>
          <cell r="U845">
            <v>417</v>
          </cell>
          <cell r="V845">
            <v>244</v>
          </cell>
          <cell r="W845">
            <v>758</v>
          </cell>
          <cell r="X845">
            <v>672</v>
          </cell>
          <cell r="Y845">
            <v>555</v>
          </cell>
          <cell r="Z845">
            <v>479</v>
          </cell>
          <cell r="AA845">
            <v>403</v>
          </cell>
          <cell r="AB845">
            <v>283</v>
          </cell>
          <cell r="AC845">
            <v>163</v>
          </cell>
        </row>
        <row r="846">
          <cell r="A846" t="str">
            <v>8-16-30</v>
          </cell>
          <cell r="B846">
            <v>1240</v>
          </cell>
          <cell r="C846">
            <v>1103</v>
          </cell>
          <cell r="D846">
            <v>912</v>
          </cell>
          <cell r="E846">
            <v>782</v>
          </cell>
          <cell r="F846">
            <v>652</v>
          </cell>
          <cell r="G846">
            <v>451</v>
          </cell>
          <cell r="H846">
            <v>250</v>
          </cell>
          <cell r="I846">
            <v>961</v>
          </cell>
          <cell r="J846">
            <v>836</v>
          </cell>
          <cell r="K846">
            <v>676</v>
          </cell>
          <cell r="L846">
            <v>574</v>
          </cell>
          <cell r="M846">
            <v>471</v>
          </cell>
          <cell r="N846">
            <v>325</v>
          </cell>
          <cell r="O846">
            <v>178</v>
          </cell>
          <cell r="P846">
            <v>930</v>
          </cell>
          <cell r="Q846">
            <v>844</v>
          </cell>
          <cell r="R846">
            <v>714</v>
          </cell>
          <cell r="S846">
            <v>622</v>
          </cell>
          <cell r="T846">
            <v>530</v>
          </cell>
          <cell r="U846">
            <v>374</v>
          </cell>
          <cell r="V846">
            <v>217</v>
          </cell>
          <cell r="W846">
            <v>721</v>
          </cell>
          <cell r="X846">
            <v>640</v>
          </cell>
          <cell r="Y846">
            <v>529</v>
          </cell>
          <cell r="Z846">
            <v>456</v>
          </cell>
          <cell r="AA846">
            <v>383</v>
          </cell>
          <cell r="AB846">
            <v>269</v>
          </cell>
          <cell r="AC846">
            <v>155</v>
          </cell>
        </row>
        <row r="847">
          <cell r="A847" t="str">
            <v>9-11-30</v>
          </cell>
          <cell r="B847">
            <v>1925</v>
          </cell>
          <cell r="C847">
            <v>1675</v>
          </cell>
          <cell r="D847">
            <v>1355</v>
          </cell>
          <cell r="E847">
            <v>1156</v>
          </cell>
          <cell r="F847">
            <v>957</v>
          </cell>
          <cell r="G847">
            <v>665</v>
          </cell>
          <cell r="H847">
            <v>372</v>
          </cell>
          <cell r="I847">
            <v>1197</v>
          </cell>
          <cell r="J847">
            <v>1032</v>
          </cell>
          <cell r="K847">
            <v>828</v>
          </cell>
          <cell r="L847">
            <v>704</v>
          </cell>
          <cell r="M847">
            <v>579</v>
          </cell>
          <cell r="N847">
            <v>401</v>
          </cell>
          <cell r="O847">
            <v>223</v>
          </cell>
          <cell r="P847">
            <v>1443</v>
          </cell>
          <cell r="Q847">
            <v>1282</v>
          </cell>
          <cell r="R847">
            <v>1060</v>
          </cell>
          <cell r="S847">
            <v>919</v>
          </cell>
          <cell r="T847">
            <v>777</v>
          </cell>
          <cell r="U847">
            <v>551</v>
          </cell>
          <cell r="V847">
            <v>324</v>
          </cell>
          <cell r="W847">
            <v>897</v>
          </cell>
          <cell r="X847">
            <v>790</v>
          </cell>
          <cell r="Y847">
            <v>648</v>
          </cell>
          <cell r="Z847">
            <v>559</v>
          </cell>
          <cell r="AA847">
            <v>470</v>
          </cell>
          <cell r="AB847">
            <v>332</v>
          </cell>
          <cell r="AC847">
            <v>194</v>
          </cell>
        </row>
        <row r="848">
          <cell r="A848" t="str">
            <v>9-12-30</v>
          </cell>
          <cell r="B848">
            <v>1798</v>
          </cell>
          <cell r="C848">
            <v>1572</v>
          </cell>
          <cell r="D848">
            <v>1275</v>
          </cell>
          <cell r="E848">
            <v>1089</v>
          </cell>
          <cell r="F848">
            <v>903</v>
          </cell>
          <cell r="G848">
            <v>627</v>
          </cell>
          <cell r="H848">
            <v>350</v>
          </cell>
          <cell r="I848">
            <v>1150</v>
          </cell>
          <cell r="J848">
            <v>994</v>
          </cell>
          <cell r="K848">
            <v>798</v>
          </cell>
          <cell r="L848">
            <v>678</v>
          </cell>
          <cell r="M848">
            <v>558</v>
          </cell>
          <cell r="N848">
            <v>386</v>
          </cell>
          <cell r="O848">
            <v>214</v>
          </cell>
          <cell r="P848">
            <v>1348</v>
          </cell>
          <cell r="Q848">
            <v>1202</v>
          </cell>
          <cell r="R848">
            <v>998</v>
          </cell>
          <cell r="S848">
            <v>866</v>
          </cell>
          <cell r="T848">
            <v>733</v>
          </cell>
          <cell r="U848">
            <v>519</v>
          </cell>
          <cell r="V848">
            <v>305</v>
          </cell>
          <cell r="W848">
            <v>862</v>
          </cell>
          <cell r="X848">
            <v>760</v>
          </cell>
          <cell r="Y848">
            <v>625</v>
          </cell>
          <cell r="Z848">
            <v>539</v>
          </cell>
          <cell r="AA848">
            <v>453</v>
          </cell>
          <cell r="AB848">
            <v>320</v>
          </cell>
          <cell r="AC848">
            <v>187</v>
          </cell>
        </row>
        <row r="849">
          <cell r="A849" t="str">
            <v>9-13-30</v>
          </cell>
          <cell r="B849">
            <v>1667</v>
          </cell>
          <cell r="C849">
            <v>1463</v>
          </cell>
          <cell r="D849">
            <v>1193</v>
          </cell>
          <cell r="E849">
            <v>1020</v>
          </cell>
          <cell r="F849">
            <v>846</v>
          </cell>
          <cell r="G849">
            <v>587</v>
          </cell>
          <cell r="H849">
            <v>328</v>
          </cell>
          <cell r="I849">
            <v>1103</v>
          </cell>
          <cell r="J849">
            <v>956</v>
          </cell>
          <cell r="K849">
            <v>768</v>
          </cell>
          <cell r="L849">
            <v>653</v>
          </cell>
          <cell r="M849">
            <v>538</v>
          </cell>
          <cell r="N849">
            <v>372</v>
          </cell>
          <cell r="O849">
            <v>206</v>
          </cell>
          <cell r="P849">
            <v>1250</v>
          </cell>
          <cell r="Q849">
            <v>1119</v>
          </cell>
          <cell r="R849">
            <v>934</v>
          </cell>
          <cell r="S849">
            <v>811</v>
          </cell>
          <cell r="T849">
            <v>688</v>
          </cell>
          <cell r="U849">
            <v>487</v>
          </cell>
          <cell r="V849">
            <v>286</v>
          </cell>
          <cell r="W849">
            <v>827</v>
          </cell>
          <cell r="X849">
            <v>731</v>
          </cell>
          <cell r="Y849">
            <v>601</v>
          </cell>
          <cell r="Z849">
            <v>519</v>
          </cell>
          <cell r="AA849">
            <v>437</v>
          </cell>
          <cell r="AB849">
            <v>308</v>
          </cell>
          <cell r="AC849">
            <v>179</v>
          </cell>
        </row>
        <row r="850">
          <cell r="A850" t="str">
            <v>9-14-30</v>
          </cell>
          <cell r="B850">
            <v>1533</v>
          </cell>
          <cell r="C850">
            <v>1351</v>
          </cell>
          <cell r="D850">
            <v>1105</v>
          </cell>
          <cell r="E850">
            <v>946</v>
          </cell>
          <cell r="F850">
            <v>786</v>
          </cell>
          <cell r="G850">
            <v>545</v>
          </cell>
          <cell r="H850">
            <v>304</v>
          </cell>
          <cell r="I850">
            <v>1057</v>
          </cell>
          <cell r="J850">
            <v>917</v>
          </cell>
          <cell r="K850">
            <v>739</v>
          </cell>
          <cell r="L850">
            <v>628</v>
          </cell>
          <cell r="M850">
            <v>516</v>
          </cell>
          <cell r="N850">
            <v>357</v>
          </cell>
          <cell r="O850">
            <v>197</v>
          </cell>
          <cell r="P850">
            <v>1149</v>
          </cell>
          <cell r="Q850">
            <v>1033</v>
          </cell>
          <cell r="R850">
            <v>865</v>
          </cell>
          <cell r="S850">
            <v>752</v>
          </cell>
          <cell r="T850">
            <v>638</v>
          </cell>
          <cell r="U850">
            <v>452</v>
          </cell>
          <cell r="V850">
            <v>265</v>
          </cell>
          <cell r="W850">
            <v>792</v>
          </cell>
          <cell r="X850">
            <v>701</v>
          </cell>
          <cell r="Y850">
            <v>578</v>
          </cell>
          <cell r="Z850">
            <v>499</v>
          </cell>
          <cell r="AA850">
            <v>419</v>
          </cell>
          <cell r="AB850">
            <v>295</v>
          </cell>
          <cell r="AC850">
            <v>171</v>
          </cell>
        </row>
        <row r="851">
          <cell r="A851" t="str">
            <v>9-15-30</v>
          </cell>
          <cell r="B851">
            <v>1390</v>
          </cell>
          <cell r="C851">
            <v>1231</v>
          </cell>
          <cell r="D851">
            <v>1013</v>
          </cell>
          <cell r="E851">
            <v>867</v>
          </cell>
          <cell r="F851">
            <v>721</v>
          </cell>
          <cell r="G851">
            <v>500</v>
          </cell>
          <cell r="H851">
            <v>278</v>
          </cell>
          <cell r="I851">
            <v>1009</v>
          </cell>
          <cell r="J851">
            <v>878</v>
          </cell>
          <cell r="K851">
            <v>707</v>
          </cell>
          <cell r="L851">
            <v>601</v>
          </cell>
          <cell r="M851">
            <v>494</v>
          </cell>
          <cell r="N851">
            <v>340</v>
          </cell>
          <cell r="O851">
            <v>186</v>
          </cell>
          <cell r="P851">
            <v>1042</v>
          </cell>
          <cell r="Q851">
            <v>942</v>
          </cell>
          <cell r="R851">
            <v>793</v>
          </cell>
          <cell r="S851">
            <v>690</v>
          </cell>
          <cell r="T851">
            <v>586</v>
          </cell>
          <cell r="U851">
            <v>414</v>
          </cell>
          <cell r="V851">
            <v>242</v>
          </cell>
          <cell r="W851">
            <v>757</v>
          </cell>
          <cell r="X851">
            <v>672</v>
          </cell>
          <cell r="Y851">
            <v>554</v>
          </cell>
          <cell r="Z851">
            <v>478</v>
          </cell>
          <cell r="AA851">
            <v>402</v>
          </cell>
          <cell r="AB851">
            <v>282</v>
          </cell>
          <cell r="AC851">
            <v>162</v>
          </cell>
        </row>
        <row r="852">
          <cell r="A852" t="str">
            <v>9-16-30</v>
          </cell>
          <cell r="B852">
            <v>1235</v>
          </cell>
          <cell r="C852">
            <v>1098</v>
          </cell>
          <cell r="D852">
            <v>907</v>
          </cell>
          <cell r="E852">
            <v>778</v>
          </cell>
          <cell r="F852">
            <v>648</v>
          </cell>
          <cell r="G852">
            <v>449</v>
          </cell>
          <cell r="H852">
            <v>250</v>
          </cell>
          <cell r="I852">
            <v>960</v>
          </cell>
          <cell r="J852">
            <v>835</v>
          </cell>
          <cell r="K852">
            <v>674</v>
          </cell>
          <cell r="L852">
            <v>573</v>
          </cell>
          <cell r="M852">
            <v>471</v>
          </cell>
          <cell r="N852">
            <v>325</v>
          </cell>
          <cell r="O852">
            <v>178</v>
          </cell>
          <cell r="P852">
            <v>926</v>
          </cell>
          <cell r="Q852">
            <v>840</v>
          </cell>
          <cell r="R852">
            <v>710</v>
          </cell>
          <cell r="S852">
            <v>619</v>
          </cell>
          <cell r="T852">
            <v>527</v>
          </cell>
          <cell r="U852">
            <v>372</v>
          </cell>
          <cell r="V852">
            <v>217</v>
          </cell>
          <cell r="W852">
            <v>720</v>
          </cell>
          <cell r="X852">
            <v>639</v>
          </cell>
          <cell r="Y852">
            <v>528</v>
          </cell>
          <cell r="Z852">
            <v>456</v>
          </cell>
          <cell r="AA852">
            <v>383</v>
          </cell>
          <cell r="AB852">
            <v>269</v>
          </cell>
          <cell r="AC852">
            <v>155</v>
          </cell>
        </row>
        <row r="853">
          <cell r="A853" t="str">
            <v>9-17-30</v>
          </cell>
          <cell r="B853">
            <v>1079</v>
          </cell>
          <cell r="C853">
            <v>957</v>
          </cell>
          <cell r="D853">
            <v>793</v>
          </cell>
          <cell r="E853">
            <v>681</v>
          </cell>
          <cell r="F853">
            <v>569</v>
          </cell>
          <cell r="G853">
            <v>393</v>
          </cell>
          <cell r="H853">
            <v>216</v>
          </cell>
          <cell r="I853">
            <v>916</v>
          </cell>
          <cell r="J853">
            <v>792</v>
          </cell>
          <cell r="K853">
            <v>641</v>
          </cell>
          <cell r="L853">
            <v>544</v>
          </cell>
          <cell r="M853">
            <v>447</v>
          </cell>
          <cell r="N853">
            <v>308</v>
          </cell>
          <cell r="O853">
            <v>168</v>
          </cell>
          <cell r="P853">
            <v>809</v>
          </cell>
          <cell r="Q853">
            <v>732</v>
          </cell>
          <cell r="R853">
            <v>621</v>
          </cell>
          <cell r="S853">
            <v>542</v>
          </cell>
          <cell r="T853">
            <v>462</v>
          </cell>
          <cell r="U853">
            <v>325</v>
          </cell>
          <cell r="V853">
            <v>188</v>
          </cell>
          <cell r="W853">
            <v>687</v>
          </cell>
          <cell r="X853">
            <v>606</v>
          </cell>
          <cell r="Y853">
            <v>502</v>
          </cell>
          <cell r="Z853">
            <v>433</v>
          </cell>
          <cell r="AA853">
            <v>363</v>
          </cell>
          <cell r="AB853">
            <v>255</v>
          </cell>
          <cell r="AC853">
            <v>146</v>
          </cell>
        </row>
        <row r="854">
          <cell r="A854" t="str">
            <v>10-12-30</v>
          </cell>
          <cell r="B854">
            <v>1794</v>
          </cell>
          <cell r="C854">
            <v>1565</v>
          </cell>
          <cell r="D854">
            <v>1268</v>
          </cell>
          <cell r="E854">
            <v>1082</v>
          </cell>
          <cell r="F854">
            <v>895</v>
          </cell>
          <cell r="G854">
            <v>621</v>
          </cell>
          <cell r="H854">
            <v>346</v>
          </cell>
          <cell r="I854">
            <v>1148</v>
          </cell>
          <cell r="J854">
            <v>992</v>
          </cell>
          <cell r="K854">
            <v>795</v>
          </cell>
          <cell r="L854">
            <v>675</v>
          </cell>
          <cell r="M854">
            <v>555</v>
          </cell>
          <cell r="N854">
            <v>384</v>
          </cell>
          <cell r="O854">
            <v>213</v>
          </cell>
          <cell r="P854">
            <v>1345</v>
          </cell>
          <cell r="Q854">
            <v>1197</v>
          </cell>
          <cell r="R854">
            <v>993</v>
          </cell>
          <cell r="S854">
            <v>860</v>
          </cell>
          <cell r="T854">
            <v>727</v>
          </cell>
          <cell r="U854">
            <v>515</v>
          </cell>
          <cell r="V854">
            <v>302</v>
          </cell>
          <cell r="W854">
            <v>861</v>
          </cell>
          <cell r="X854">
            <v>758</v>
          </cell>
          <cell r="Y854">
            <v>622</v>
          </cell>
          <cell r="Z854">
            <v>537</v>
          </cell>
          <cell r="AA854">
            <v>451</v>
          </cell>
          <cell r="AB854">
            <v>319</v>
          </cell>
          <cell r="AC854">
            <v>186</v>
          </cell>
        </row>
        <row r="855">
          <cell r="A855" t="str">
            <v>10-13-30</v>
          </cell>
          <cell r="B855">
            <v>1661</v>
          </cell>
          <cell r="C855">
            <v>1455</v>
          </cell>
          <cell r="D855">
            <v>1184</v>
          </cell>
          <cell r="E855">
            <v>1012</v>
          </cell>
          <cell r="F855">
            <v>839</v>
          </cell>
          <cell r="G855">
            <v>582</v>
          </cell>
          <cell r="H855">
            <v>324</v>
          </cell>
          <cell r="I855">
            <v>1100</v>
          </cell>
          <cell r="J855">
            <v>953</v>
          </cell>
          <cell r="K855">
            <v>765</v>
          </cell>
          <cell r="L855">
            <v>651</v>
          </cell>
          <cell r="M855">
            <v>536</v>
          </cell>
          <cell r="N855">
            <v>370</v>
          </cell>
          <cell r="O855">
            <v>204</v>
          </cell>
          <cell r="P855">
            <v>1245</v>
          </cell>
          <cell r="Q855">
            <v>1114</v>
          </cell>
          <cell r="R855">
            <v>927</v>
          </cell>
          <cell r="S855">
            <v>804</v>
          </cell>
          <cell r="T855">
            <v>681</v>
          </cell>
          <cell r="U855">
            <v>482</v>
          </cell>
          <cell r="V855">
            <v>282</v>
          </cell>
          <cell r="W855">
            <v>825</v>
          </cell>
          <cell r="X855">
            <v>729</v>
          </cell>
          <cell r="Y855">
            <v>599</v>
          </cell>
          <cell r="Z855">
            <v>517</v>
          </cell>
          <cell r="AA855">
            <v>435</v>
          </cell>
          <cell r="AB855">
            <v>307</v>
          </cell>
          <cell r="AC855">
            <v>178</v>
          </cell>
        </row>
        <row r="856">
          <cell r="A856" t="str">
            <v>10-14-30</v>
          </cell>
          <cell r="B856">
            <v>1525</v>
          </cell>
          <cell r="C856">
            <v>1342</v>
          </cell>
          <cell r="D856">
            <v>1098</v>
          </cell>
          <cell r="E856">
            <v>939</v>
          </cell>
          <cell r="F856">
            <v>779</v>
          </cell>
          <cell r="G856">
            <v>540</v>
          </cell>
          <cell r="H856">
            <v>300</v>
          </cell>
          <cell r="I856">
            <v>1054</v>
          </cell>
          <cell r="J856">
            <v>914</v>
          </cell>
          <cell r="K856">
            <v>736</v>
          </cell>
          <cell r="L856">
            <v>625</v>
          </cell>
          <cell r="M856">
            <v>514</v>
          </cell>
          <cell r="N856">
            <v>354</v>
          </cell>
          <cell r="O856">
            <v>194</v>
          </cell>
          <cell r="P856">
            <v>1143</v>
          </cell>
          <cell r="Q856">
            <v>1027</v>
          </cell>
          <cell r="R856">
            <v>859</v>
          </cell>
          <cell r="S856">
            <v>746</v>
          </cell>
          <cell r="T856">
            <v>632</v>
          </cell>
          <cell r="U856">
            <v>447</v>
          </cell>
          <cell r="V856">
            <v>262</v>
          </cell>
          <cell r="W856">
            <v>790</v>
          </cell>
          <cell r="X856">
            <v>699</v>
          </cell>
          <cell r="Y856">
            <v>576</v>
          </cell>
          <cell r="Z856">
            <v>497</v>
          </cell>
          <cell r="AA856">
            <v>417</v>
          </cell>
          <cell r="AB856">
            <v>294</v>
          </cell>
          <cell r="AC856">
            <v>170</v>
          </cell>
        </row>
        <row r="857">
          <cell r="A857" t="str">
            <v>10-15-30</v>
          </cell>
          <cell r="B857">
            <v>1382</v>
          </cell>
          <cell r="C857">
            <v>1223</v>
          </cell>
          <cell r="D857">
            <v>1004</v>
          </cell>
          <cell r="E857">
            <v>860</v>
          </cell>
          <cell r="F857">
            <v>716</v>
          </cell>
          <cell r="G857">
            <v>496</v>
          </cell>
          <cell r="H857">
            <v>275</v>
          </cell>
          <cell r="I857">
            <v>1007</v>
          </cell>
          <cell r="J857">
            <v>875</v>
          </cell>
          <cell r="K857">
            <v>706</v>
          </cell>
          <cell r="L857">
            <v>600</v>
          </cell>
          <cell r="M857">
            <v>493</v>
          </cell>
          <cell r="N857">
            <v>339</v>
          </cell>
          <cell r="O857">
            <v>185</v>
          </cell>
          <cell r="P857">
            <v>1036</v>
          </cell>
          <cell r="Q857">
            <v>936</v>
          </cell>
          <cell r="R857">
            <v>786</v>
          </cell>
          <cell r="S857">
            <v>684</v>
          </cell>
          <cell r="T857">
            <v>581</v>
          </cell>
          <cell r="U857">
            <v>411</v>
          </cell>
          <cell r="V857">
            <v>240</v>
          </cell>
          <cell r="W857">
            <v>755</v>
          </cell>
          <cell r="X857">
            <v>670</v>
          </cell>
          <cell r="Y857">
            <v>553</v>
          </cell>
          <cell r="Z857">
            <v>477</v>
          </cell>
          <cell r="AA857">
            <v>400</v>
          </cell>
          <cell r="AB857">
            <v>281</v>
          </cell>
          <cell r="AC857">
            <v>162</v>
          </cell>
        </row>
        <row r="858">
          <cell r="A858" t="str">
            <v>10-16-30</v>
          </cell>
          <cell r="B858">
            <v>1230</v>
          </cell>
          <cell r="C858">
            <v>1093</v>
          </cell>
          <cell r="D858">
            <v>903</v>
          </cell>
          <cell r="E858">
            <v>774</v>
          </cell>
          <cell r="F858">
            <v>644</v>
          </cell>
          <cell r="G858">
            <v>446</v>
          </cell>
          <cell r="H858">
            <v>247</v>
          </cell>
          <cell r="I858">
            <v>959</v>
          </cell>
          <cell r="J858">
            <v>834</v>
          </cell>
          <cell r="K858">
            <v>674</v>
          </cell>
          <cell r="L858">
            <v>572</v>
          </cell>
          <cell r="M858">
            <v>470</v>
          </cell>
          <cell r="N858">
            <v>323</v>
          </cell>
          <cell r="O858">
            <v>175</v>
          </cell>
          <cell r="P858">
            <v>922</v>
          </cell>
          <cell r="Q858">
            <v>836</v>
          </cell>
          <cell r="R858">
            <v>707</v>
          </cell>
          <cell r="S858">
            <v>616</v>
          </cell>
          <cell r="T858">
            <v>524</v>
          </cell>
          <cell r="U858">
            <v>370</v>
          </cell>
          <cell r="V858">
            <v>215</v>
          </cell>
          <cell r="W858">
            <v>719</v>
          </cell>
          <cell r="X858">
            <v>638</v>
          </cell>
          <cell r="Y858">
            <v>528</v>
          </cell>
          <cell r="Z858">
            <v>455</v>
          </cell>
          <cell r="AA858">
            <v>382</v>
          </cell>
          <cell r="AB858">
            <v>268</v>
          </cell>
          <cell r="AC858">
            <v>153</v>
          </cell>
        </row>
        <row r="859">
          <cell r="A859" t="str">
            <v>10-17-30</v>
          </cell>
          <cell r="B859">
            <v>1075</v>
          </cell>
          <cell r="C859">
            <v>952</v>
          </cell>
          <cell r="D859">
            <v>790</v>
          </cell>
          <cell r="E859">
            <v>678</v>
          </cell>
          <cell r="F859">
            <v>565</v>
          </cell>
          <cell r="G859">
            <v>390</v>
          </cell>
          <cell r="H859">
            <v>215</v>
          </cell>
          <cell r="I859">
            <v>915</v>
          </cell>
          <cell r="J859">
            <v>791</v>
          </cell>
          <cell r="K859">
            <v>639</v>
          </cell>
          <cell r="L859">
            <v>543</v>
          </cell>
          <cell r="M859">
            <v>446</v>
          </cell>
          <cell r="N859">
            <v>307</v>
          </cell>
          <cell r="O859">
            <v>167</v>
          </cell>
          <cell r="P859">
            <v>806</v>
          </cell>
          <cell r="Q859">
            <v>728</v>
          </cell>
          <cell r="R859">
            <v>618</v>
          </cell>
          <cell r="S859">
            <v>539</v>
          </cell>
          <cell r="T859">
            <v>459</v>
          </cell>
          <cell r="U859">
            <v>323</v>
          </cell>
          <cell r="V859">
            <v>187</v>
          </cell>
          <cell r="W859">
            <v>686</v>
          </cell>
          <cell r="X859">
            <v>605</v>
          </cell>
          <cell r="Y859">
            <v>500</v>
          </cell>
          <cell r="Z859">
            <v>431</v>
          </cell>
          <cell r="AA859">
            <v>362</v>
          </cell>
          <cell r="AB859">
            <v>254</v>
          </cell>
          <cell r="AC859">
            <v>145</v>
          </cell>
        </row>
        <row r="860">
          <cell r="A860" t="str">
            <v>10-18-30</v>
          </cell>
          <cell r="B860">
            <v>901</v>
          </cell>
          <cell r="C860">
            <v>800</v>
          </cell>
          <cell r="D860">
            <v>667</v>
          </cell>
          <cell r="E860">
            <v>574</v>
          </cell>
          <cell r="F860">
            <v>480</v>
          </cell>
          <cell r="G860">
            <v>330</v>
          </cell>
          <cell r="H860">
            <v>180</v>
          </cell>
          <cell r="I860">
            <v>901</v>
          </cell>
          <cell r="J860">
            <v>736</v>
          </cell>
          <cell r="K860">
            <v>605</v>
          </cell>
          <cell r="L860">
            <v>513</v>
          </cell>
          <cell r="M860">
            <v>421</v>
          </cell>
          <cell r="N860">
            <v>289</v>
          </cell>
          <cell r="O860">
            <v>156</v>
          </cell>
          <cell r="P860">
            <v>676</v>
          </cell>
          <cell r="Q860">
            <v>612</v>
          </cell>
          <cell r="R860">
            <v>522</v>
          </cell>
          <cell r="S860">
            <v>456</v>
          </cell>
          <cell r="T860">
            <v>390</v>
          </cell>
          <cell r="U860">
            <v>274</v>
          </cell>
          <cell r="V860">
            <v>157</v>
          </cell>
          <cell r="W860">
            <v>676</v>
          </cell>
          <cell r="X860">
            <v>563</v>
          </cell>
          <cell r="Y860">
            <v>473</v>
          </cell>
          <cell r="Z860">
            <v>408</v>
          </cell>
          <cell r="AA860">
            <v>342</v>
          </cell>
          <cell r="AB860">
            <v>239</v>
          </cell>
          <cell r="AC860">
            <v>136</v>
          </cell>
        </row>
        <row r="861">
          <cell r="A861" t="str">
            <v>11-13-30</v>
          </cell>
          <cell r="B861">
            <v>1655</v>
          </cell>
          <cell r="C861">
            <v>1447</v>
          </cell>
          <cell r="D861">
            <v>1176</v>
          </cell>
          <cell r="E861">
            <v>1003</v>
          </cell>
          <cell r="F861">
            <v>830</v>
          </cell>
          <cell r="G861">
            <v>575</v>
          </cell>
          <cell r="H861">
            <v>319</v>
          </cell>
          <cell r="I861">
            <v>1099</v>
          </cell>
          <cell r="J861">
            <v>950</v>
          </cell>
          <cell r="K861">
            <v>762</v>
          </cell>
          <cell r="L861">
            <v>647</v>
          </cell>
          <cell r="M861">
            <v>532</v>
          </cell>
          <cell r="N861">
            <v>367</v>
          </cell>
          <cell r="O861">
            <v>202</v>
          </cell>
          <cell r="P861">
            <v>1240</v>
          </cell>
          <cell r="Q861">
            <v>1107</v>
          </cell>
          <cell r="R861">
            <v>920</v>
          </cell>
          <cell r="S861">
            <v>797</v>
          </cell>
          <cell r="T861">
            <v>674</v>
          </cell>
          <cell r="U861">
            <v>476</v>
          </cell>
          <cell r="V861">
            <v>278</v>
          </cell>
          <cell r="W861">
            <v>824</v>
          </cell>
          <cell r="X861">
            <v>727</v>
          </cell>
          <cell r="Y861">
            <v>596</v>
          </cell>
          <cell r="Z861">
            <v>514</v>
          </cell>
          <cell r="AA861">
            <v>432</v>
          </cell>
          <cell r="AB861">
            <v>304</v>
          </cell>
          <cell r="AC861">
            <v>176</v>
          </cell>
        </row>
        <row r="862">
          <cell r="A862" t="str">
            <v>11-14-30</v>
          </cell>
          <cell r="B862">
            <v>1517</v>
          </cell>
          <cell r="C862">
            <v>1333</v>
          </cell>
          <cell r="D862">
            <v>1088</v>
          </cell>
          <cell r="E862">
            <v>930</v>
          </cell>
          <cell r="F862">
            <v>771</v>
          </cell>
          <cell r="G862">
            <v>534</v>
          </cell>
          <cell r="H862">
            <v>296</v>
          </cell>
          <cell r="I862">
            <v>1052</v>
          </cell>
          <cell r="J862">
            <v>910</v>
          </cell>
          <cell r="K862">
            <v>733</v>
          </cell>
          <cell r="L862">
            <v>622</v>
          </cell>
          <cell r="M862">
            <v>511</v>
          </cell>
          <cell r="N862">
            <v>352</v>
          </cell>
          <cell r="O862">
            <v>193</v>
          </cell>
          <cell r="P862">
            <v>1137</v>
          </cell>
          <cell r="Q862">
            <v>1020</v>
          </cell>
          <cell r="R862">
            <v>851</v>
          </cell>
          <cell r="S862">
            <v>739</v>
          </cell>
          <cell r="T862">
            <v>626</v>
          </cell>
          <cell r="U862">
            <v>442</v>
          </cell>
          <cell r="V862">
            <v>258</v>
          </cell>
          <cell r="W862">
            <v>788</v>
          </cell>
          <cell r="X862">
            <v>697</v>
          </cell>
          <cell r="Y862">
            <v>573</v>
          </cell>
          <cell r="Z862">
            <v>494</v>
          </cell>
          <cell r="AA862">
            <v>415</v>
          </cell>
          <cell r="AB862">
            <v>292</v>
          </cell>
          <cell r="AC862">
            <v>168</v>
          </cell>
        </row>
        <row r="863">
          <cell r="A863" t="str">
            <v>11-15-30</v>
          </cell>
          <cell r="B863">
            <v>1374</v>
          </cell>
          <cell r="C863">
            <v>1213</v>
          </cell>
          <cell r="D863">
            <v>996</v>
          </cell>
          <cell r="E863">
            <v>852</v>
          </cell>
          <cell r="F863">
            <v>708</v>
          </cell>
          <cell r="G863">
            <v>490</v>
          </cell>
          <cell r="H863">
            <v>272</v>
          </cell>
          <cell r="I863">
            <v>1005</v>
          </cell>
          <cell r="J863">
            <v>871</v>
          </cell>
          <cell r="K863">
            <v>703</v>
          </cell>
          <cell r="L863">
            <v>597</v>
          </cell>
          <cell r="M863">
            <v>490</v>
          </cell>
          <cell r="N863">
            <v>338</v>
          </cell>
          <cell r="O863">
            <v>185</v>
          </cell>
          <cell r="P863">
            <v>1030</v>
          </cell>
          <cell r="Q863">
            <v>928</v>
          </cell>
          <cell r="R863">
            <v>779</v>
          </cell>
          <cell r="S863">
            <v>677</v>
          </cell>
          <cell r="T863">
            <v>575</v>
          </cell>
          <cell r="U863">
            <v>406</v>
          </cell>
          <cell r="V863">
            <v>237</v>
          </cell>
          <cell r="W863">
            <v>753</v>
          </cell>
          <cell r="X863">
            <v>667</v>
          </cell>
          <cell r="Y863">
            <v>549</v>
          </cell>
          <cell r="Z863">
            <v>474</v>
          </cell>
          <cell r="AA863">
            <v>398</v>
          </cell>
          <cell r="AB863">
            <v>280</v>
          </cell>
          <cell r="AC863">
            <v>161</v>
          </cell>
        </row>
        <row r="864">
          <cell r="A864" t="str">
            <v>11-16-30</v>
          </cell>
          <cell r="B864">
            <v>1225</v>
          </cell>
          <cell r="C864">
            <v>1087</v>
          </cell>
          <cell r="D864">
            <v>897</v>
          </cell>
          <cell r="E864">
            <v>768</v>
          </cell>
          <cell r="F864">
            <v>639</v>
          </cell>
          <cell r="G864">
            <v>443</v>
          </cell>
          <cell r="H864">
            <v>246</v>
          </cell>
          <cell r="I864">
            <v>957</v>
          </cell>
          <cell r="J864">
            <v>832</v>
          </cell>
          <cell r="K864">
            <v>672</v>
          </cell>
          <cell r="L864">
            <v>571</v>
          </cell>
          <cell r="M864">
            <v>469</v>
          </cell>
          <cell r="N864">
            <v>323</v>
          </cell>
          <cell r="O864">
            <v>176</v>
          </cell>
          <cell r="P864">
            <v>918</v>
          </cell>
          <cell r="Q864">
            <v>832</v>
          </cell>
          <cell r="R864">
            <v>702</v>
          </cell>
          <cell r="S864">
            <v>611</v>
          </cell>
          <cell r="T864">
            <v>519</v>
          </cell>
          <cell r="U864">
            <v>367</v>
          </cell>
          <cell r="V864">
            <v>214</v>
          </cell>
          <cell r="W864">
            <v>717</v>
          </cell>
          <cell r="X864">
            <v>637</v>
          </cell>
          <cell r="Y864">
            <v>526</v>
          </cell>
          <cell r="Z864">
            <v>454</v>
          </cell>
          <cell r="AA864">
            <v>381</v>
          </cell>
          <cell r="AB864">
            <v>267</v>
          </cell>
          <cell r="AC864">
            <v>153</v>
          </cell>
        </row>
        <row r="865">
          <cell r="A865" t="str">
            <v>11-17-30</v>
          </cell>
          <cell r="B865">
            <v>1070</v>
          </cell>
          <cell r="C865">
            <v>947</v>
          </cell>
          <cell r="D865">
            <v>785</v>
          </cell>
          <cell r="E865">
            <v>674</v>
          </cell>
          <cell r="F865">
            <v>562</v>
          </cell>
          <cell r="G865">
            <v>389</v>
          </cell>
          <cell r="H865">
            <v>215</v>
          </cell>
          <cell r="I865">
            <v>913</v>
          </cell>
          <cell r="J865">
            <v>789</v>
          </cell>
          <cell r="K865">
            <v>638</v>
          </cell>
          <cell r="L865">
            <v>542</v>
          </cell>
          <cell r="M865">
            <v>445</v>
          </cell>
          <cell r="N865">
            <v>306</v>
          </cell>
          <cell r="O865">
            <v>167</v>
          </cell>
          <cell r="P865">
            <v>802</v>
          </cell>
          <cell r="Q865">
            <v>725</v>
          </cell>
          <cell r="R865">
            <v>614</v>
          </cell>
          <cell r="S865">
            <v>535</v>
          </cell>
          <cell r="T865">
            <v>456</v>
          </cell>
          <cell r="U865">
            <v>322</v>
          </cell>
          <cell r="V865">
            <v>187</v>
          </cell>
          <cell r="W865">
            <v>684</v>
          </cell>
          <cell r="X865">
            <v>604</v>
          </cell>
          <cell r="Y865">
            <v>499</v>
          </cell>
          <cell r="Z865">
            <v>430</v>
          </cell>
          <cell r="AA865">
            <v>361</v>
          </cell>
          <cell r="AB865">
            <v>253</v>
          </cell>
          <cell r="AC865">
            <v>145</v>
          </cell>
        </row>
        <row r="866">
          <cell r="A866" t="str">
            <v>11-18-30</v>
          </cell>
          <cell r="B866">
            <v>894</v>
          </cell>
          <cell r="C866">
            <v>787</v>
          </cell>
          <cell r="D866">
            <v>662</v>
          </cell>
          <cell r="E866">
            <v>569</v>
          </cell>
          <cell r="F866">
            <v>476</v>
          </cell>
          <cell r="G866">
            <v>328</v>
          </cell>
          <cell r="H866">
            <v>179</v>
          </cell>
          <cell r="I866">
            <v>894</v>
          </cell>
          <cell r="J866">
            <v>729</v>
          </cell>
          <cell r="K866">
            <v>604</v>
          </cell>
          <cell r="L866">
            <v>512</v>
          </cell>
          <cell r="M866">
            <v>420</v>
          </cell>
          <cell r="N866">
            <v>288</v>
          </cell>
          <cell r="O866">
            <v>156</v>
          </cell>
          <cell r="P866">
            <v>670</v>
          </cell>
          <cell r="Q866">
            <v>602</v>
          </cell>
          <cell r="R866">
            <v>518</v>
          </cell>
          <cell r="S866">
            <v>453</v>
          </cell>
          <cell r="T866">
            <v>387</v>
          </cell>
          <cell r="U866">
            <v>272</v>
          </cell>
          <cell r="V866">
            <v>156</v>
          </cell>
          <cell r="W866">
            <v>670</v>
          </cell>
          <cell r="X866">
            <v>558</v>
          </cell>
          <cell r="Y866">
            <v>472</v>
          </cell>
          <cell r="Z866">
            <v>407</v>
          </cell>
          <cell r="AA866">
            <v>341</v>
          </cell>
          <cell r="AB866">
            <v>239</v>
          </cell>
          <cell r="AC866">
            <v>136</v>
          </cell>
        </row>
        <row r="867">
          <cell r="A867" t="str">
            <v>11-19-30</v>
          </cell>
          <cell r="B867">
            <v>843</v>
          </cell>
          <cell r="C867">
            <v>740</v>
          </cell>
          <cell r="D867">
            <v>600</v>
          </cell>
          <cell r="E867">
            <v>510</v>
          </cell>
          <cell r="F867">
            <v>420</v>
          </cell>
          <cell r="G867">
            <v>289</v>
          </cell>
          <cell r="H867">
            <v>157</v>
          </cell>
          <cell r="I867">
            <v>843</v>
          </cell>
          <cell r="J867">
            <v>740</v>
          </cell>
          <cell r="K867">
            <v>600</v>
          </cell>
          <cell r="L867">
            <v>510</v>
          </cell>
          <cell r="M867">
            <v>420</v>
          </cell>
          <cell r="N867">
            <v>289</v>
          </cell>
          <cell r="O867">
            <v>157</v>
          </cell>
          <cell r="P867">
            <v>632</v>
          </cell>
          <cell r="Q867">
            <v>566</v>
          </cell>
          <cell r="R867">
            <v>469</v>
          </cell>
          <cell r="S867">
            <v>405</v>
          </cell>
          <cell r="T867">
            <v>341</v>
          </cell>
          <cell r="U867">
            <v>239</v>
          </cell>
          <cell r="V867">
            <v>137</v>
          </cell>
          <cell r="W867">
            <v>632</v>
          </cell>
          <cell r="X867">
            <v>566</v>
          </cell>
          <cell r="Y867">
            <v>469</v>
          </cell>
          <cell r="Z867">
            <v>405</v>
          </cell>
          <cell r="AA867">
            <v>341</v>
          </cell>
          <cell r="AB867">
            <v>239</v>
          </cell>
          <cell r="AC867">
            <v>137</v>
          </cell>
        </row>
        <row r="868">
          <cell r="A868" t="str">
            <v>12-14-30</v>
          </cell>
          <cell r="B868">
            <v>1510</v>
          </cell>
          <cell r="C868">
            <v>1324</v>
          </cell>
          <cell r="D868">
            <v>1078</v>
          </cell>
          <cell r="E868">
            <v>920</v>
          </cell>
          <cell r="F868">
            <v>762</v>
          </cell>
          <cell r="G868">
            <v>527</v>
          </cell>
          <cell r="H868">
            <v>291</v>
          </cell>
          <cell r="I868">
            <v>1049</v>
          </cell>
          <cell r="J868">
            <v>908</v>
          </cell>
          <cell r="K868">
            <v>729</v>
          </cell>
          <cell r="L868">
            <v>619</v>
          </cell>
          <cell r="M868">
            <v>509</v>
          </cell>
          <cell r="N868">
            <v>350</v>
          </cell>
          <cell r="O868">
            <v>191</v>
          </cell>
          <cell r="P868">
            <v>1132</v>
          </cell>
          <cell r="Q868">
            <v>1013</v>
          </cell>
          <cell r="R868">
            <v>844</v>
          </cell>
          <cell r="S868">
            <v>732</v>
          </cell>
          <cell r="T868">
            <v>619</v>
          </cell>
          <cell r="U868">
            <v>437</v>
          </cell>
          <cell r="V868">
            <v>254</v>
          </cell>
          <cell r="W868">
            <v>786</v>
          </cell>
          <cell r="X868">
            <v>695</v>
          </cell>
          <cell r="Y868">
            <v>571</v>
          </cell>
          <cell r="Z868">
            <v>492</v>
          </cell>
          <cell r="AA868">
            <v>413</v>
          </cell>
          <cell r="AB868">
            <v>290</v>
          </cell>
          <cell r="AC868">
            <v>167</v>
          </cell>
        </row>
        <row r="869">
          <cell r="A869" t="str">
            <v>12-15-30</v>
          </cell>
          <cell r="B869">
            <v>1364</v>
          </cell>
          <cell r="C869">
            <v>1203</v>
          </cell>
          <cell r="D869">
            <v>986</v>
          </cell>
          <cell r="E869">
            <v>843</v>
          </cell>
          <cell r="F869">
            <v>699</v>
          </cell>
          <cell r="G869">
            <v>483</v>
          </cell>
          <cell r="H869">
            <v>267</v>
          </cell>
          <cell r="I869">
            <v>1002</v>
          </cell>
          <cell r="J869">
            <v>868</v>
          </cell>
          <cell r="K869">
            <v>700</v>
          </cell>
          <cell r="L869">
            <v>594</v>
          </cell>
          <cell r="M869">
            <v>487</v>
          </cell>
          <cell r="N869">
            <v>335</v>
          </cell>
          <cell r="O869">
            <v>183</v>
          </cell>
          <cell r="P869">
            <v>1023</v>
          </cell>
          <cell r="Q869">
            <v>921</v>
          </cell>
          <cell r="R869">
            <v>772</v>
          </cell>
          <cell r="S869">
            <v>670</v>
          </cell>
          <cell r="T869">
            <v>568</v>
          </cell>
          <cell r="U869">
            <v>401</v>
          </cell>
          <cell r="V869">
            <v>233</v>
          </cell>
          <cell r="W869">
            <v>751</v>
          </cell>
          <cell r="X869">
            <v>665</v>
          </cell>
          <cell r="Y869">
            <v>548</v>
          </cell>
          <cell r="Z869">
            <v>472</v>
          </cell>
          <cell r="AA869">
            <v>396</v>
          </cell>
          <cell r="AB869">
            <v>278</v>
          </cell>
          <cell r="AC869">
            <v>160</v>
          </cell>
        </row>
        <row r="870">
          <cell r="A870" t="str">
            <v>12-16-30</v>
          </cell>
          <cell r="B870">
            <v>1215</v>
          </cell>
          <cell r="C870">
            <v>1077</v>
          </cell>
          <cell r="D870">
            <v>888</v>
          </cell>
          <cell r="E870">
            <v>761</v>
          </cell>
          <cell r="F870">
            <v>633</v>
          </cell>
          <cell r="G870">
            <v>438</v>
          </cell>
          <cell r="H870">
            <v>242</v>
          </cell>
          <cell r="I870">
            <v>953</v>
          </cell>
          <cell r="J870">
            <v>829</v>
          </cell>
          <cell r="K870">
            <v>668</v>
          </cell>
          <cell r="L870">
            <v>567</v>
          </cell>
          <cell r="M870">
            <v>466</v>
          </cell>
          <cell r="N870">
            <v>321</v>
          </cell>
          <cell r="O870">
            <v>175</v>
          </cell>
          <cell r="P870">
            <v>910</v>
          </cell>
          <cell r="Q870">
            <v>824</v>
          </cell>
          <cell r="R870">
            <v>695</v>
          </cell>
          <cell r="S870">
            <v>605</v>
          </cell>
          <cell r="T870">
            <v>514</v>
          </cell>
          <cell r="U870">
            <v>363</v>
          </cell>
          <cell r="V870">
            <v>211</v>
          </cell>
          <cell r="W870">
            <v>714</v>
          </cell>
          <cell r="X870">
            <v>634</v>
          </cell>
          <cell r="Y870">
            <v>523</v>
          </cell>
          <cell r="Z870">
            <v>451</v>
          </cell>
          <cell r="AA870">
            <v>379</v>
          </cell>
          <cell r="AB870">
            <v>266</v>
          </cell>
          <cell r="AC870">
            <v>152</v>
          </cell>
        </row>
        <row r="871">
          <cell r="A871" t="str">
            <v>12-17-30</v>
          </cell>
          <cell r="B871">
            <v>1064</v>
          </cell>
          <cell r="C871">
            <v>940</v>
          </cell>
          <cell r="D871">
            <v>779</v>
          </cell>
          <cell r="E871">
            <v>669</v>
          </cell>
          <cell r="F871">
            <v>558</v>
          </cell>
          <cell r="G871">
            <v>385</v>
          </cell>
          <cell r="H871">
            <v>212</v>
          </cell>
          <cell r="I871">
            <v>912</v>
          </cell>
          <cell r="J871">
            <v>787</v>
          </cell>
          <cell r="K871">
            <v>637</v>
          </cell>
          <cell r="L871">
            <v>541</v>
          </cell>
          <cell r="M871">
            <v>444</v>
          </cell>
          <cell r="N871">
            <v>305</v>
          </cell>
          <cell r="O871">
            <v>165</v>
          </cell>
          <cell r="P871">
            <v>797</v>
          </cell>
          <cell r="Q871">
            <v>719</v>
          </cell>
          <cell r="R871">
            <v>610</v>
          </cell>
          <cell r="S871">
            <v>532</v>
          </cell>
          <cell r="T871">
            <v>453</v>
          </cell>
          <cell r="U871">
            <v>319</v>
          </cell>
          <cell r="V871">
            <v>185</v>
          </cell>
          <cell r="W871">
            <v>683</v>
          </cell>
          <cell r="X871">
            <v>602</v>
          </cell>
          <cell r="Y871">
            <v>498</v>
          </cell>
          <cell r="Z871">
            <v>429</v>
          </cell>
          <cell r="AA871">
            <v>360</v>
          </cell>
          <cell r="AB871">
            <v>252</v>
          </cell>
          <cell r="AC871">
            <v>144</v>
          </cell>
        </row>
        <row r="872">
          <cell r="A872" t="str">
            <v>12-18-30</v>
          </cell>
          <cell r="B872">
            <v>886</v>
          </cell>
          <cell r="C872">
            <v>790</v>
          </cell>
          <cell r="D872">
            <v>658</v>
          </cell>
          <cell r="E872">
            <v>566</v>
          </cell>
          <cell r="F872">
            <v>473</v>
          </cell>
          <cell r="G872">
            <v>326</v>
          </cell>
          <cell r="H872">
            <v>178</v>
          </cell>
          <cell r="I872">
            <v>886</v>
          </cell>
          <cell r="J872">
            <v>744</v>
          </cell>
          <cell r="K872">
            <v>601</v>
          </cell>
          <cell r="L872">
            <v>511</v>
          </cell>
          <cell r="M872">
            <v>420</v>
          </cell>
          <cell r="N872">
            <v>288</v>
          </cell>
          <cell r="O872">
            <v>156</v>
          </cell>
          <cell r="P872">
            <v>664</v>
          </cell>
          <cell r="Q872">
            <v>604</v>
          </cell>
          <cell r="R872">
            <v>515</v>
          </cell>
          <cell r="S872">
            <v>450</v>
          </cell>
          <cell r="T872">
            <v>384</v>
          </cell>
          <cell r="U872">
            <v>270</v>
          </cell>
          <cell r="V872">
            <v>155</v>
          </cell>
          <cell r="W872">
            <v>664</v>
          </cell>
          <cell r="X872">
            <v>569</v>
          </cell>
          <cell r="Y872">
            <v>470</v>
          </cell>
          <cell r="Z872">
            <v>406</v>
          </cell>
          <cell r="AA872">
            <v>341</v>
          </cell>
          <cell r="AB872">
            <v>238</v>
          </cell>
          <cell r="AC872">
            <v>135</v>
          </cell>
        </row>
        <row r="873">
          <cell r="A873" t="str">
            <v>12-19-30</v>
          </cell>
          <cell r="B873">
            <v>835</v>
          </cell>
          <cell r="C873">
            <v>732</v>
          </cell>
          <cell r="D873">
            <v>595</v>
          </cell>
          <cell r="E873">
            <v>506</v>
          </cell>
          <cell r="F873">
            <v>416</v>
          </cell>
          <cell r="G873">
            <v>285</v>
          </cell>
          <cell r="H873">
            <v>154</v>
          </cell>
          <cell r="I873">
            <v>835</v>
          </cell>
          <cell r="J873">
            <v>732</v>
          </cell>
          <cell r="K873">
            <v>595</v>
          </cell>
          <cell r="L873">
            <v>506</v>
          </cell>
          <cell r="M873">
            <v>416</v>
          </cell>
          <cell r="N873">
            <v>285</v>
          </cell>
          <cell r="O873">
            <v>154</v>
          </cell>
          <cell r="P873">
            <v>626</v>
          </cell>
          <cell r="Q873">
            <v>560</v>
          </cell>
          <cell r="R873">
            <v>466</v>
          </cell>
          <cell r="S873">
            <v>402</v>
          </cell>
          <cell r="T873">
            <v>338</v>
          </cell>
          <cell r="U873">
            <v>236</v>
          </cell>
          <cell r="V873">
            <v>134</v>
          </cell>
          <cell r="W873">
            <v>626</v>
          </cell>
          <cell r="X873">
            <v>560</v>
          </cell>
          <cell r="Y873">
            <v>466</v>
          </cell>
          <cell r="Z873">
            <v>402</v>
          </cell>
          <cell r="AA873">
            <v>338</v>
          </cell>
          <cell r="AB873">
            <v>236</v>
          </cell>
          <cell r="AC873">
            <v>134</v>
          </cell>
        </row>
        <row r="874">
          <cell r="A874" t="str">
            <v>12-20-30</v>
          </cell>
          <cell r="B874">
            <v>784</v>
          </cell>
          <cell r="C874">
            <v>696</v>
          </cell>
          <cell r="D874">
            <v>562</v>
          </cell>
          <cell r="E874">
            <v>479</v>
          </cell>
          <cell r="F874">
            <v>395</v>
          </cell>
          <cell r="G874">
            <v>271</v>
          </cell>
          <cell r="H874">
            <v>146</v>
          </cell>
          <cell r="I874">
            <v>784</v>
          </cell>
          <cell r="J874">
            <v>696</v>
          </cell>
          <cell r="K874">
            <v>562</v>
          </cell>
          <cell r="L874">
            <v>479</v>
          </cell>
          <cell r="M874">
            <v>395</v>
          </cell>
          <cell r="N874">
            <v>271</v>
          </cell>
          <cell r="O874">
            <v>146</v>
          </cell>
          <cell r="P874">
            <v>588</v>
          </cell>
          <cell r="Q874">
            <v>533</v>
          </cell>
          <cell r="R874">
            <v>440</v>
          </cell>
          <cell r="S874">
            <v>381</v>
          </cell>
          <cell r="T874">
            <v>321</v>
          </cell>
          <cell r="U874">
            <v>224</v>
          </cell>
          <cell r="V874">
            <v>127</v>
          </cell>
          <cell r="W874">
            <v>588</v>
          </cell>
          <cell r="X874">
            <v>533</v>
          </cell>
          <cell r="Y874">
            <v>440</v>
          </cell>
          <cell r="Z874">
            <v>381</v>
          </cell>
          <cell r="AA874">
            <v>321</v>
          </cell>
          <cell r="AB874">
            <v>224</v>
          </cell>
          <cell r="AC874">
            <v>127</v>
          </cell>
        </row>
        <row r="875">
          <cell r="A875" t="str">
            <v>13-15-30</v>
          </cell>
          <cell r="B875">
            <v>1356</v>
          </cell>
          <cell r="C875">
            <v>1193</v>
          </cell>
          <cell r="D875">
            <v>976</v>
          </cell>
          <cell r="E875">
            <v>834</v>
          </cell>
          <cell r="F875">
            <v>691</v>
          </cell>
          <cell r="G875">
            <v>477</v>
          </cell>
          <cell r="H875">
            <v>263</v>
          </cell>
          <cell r="I875">
            <v>999</v>
          </cell>
          <cell r="J875">
            <v>866</v>
          </cell>
          <cell r="K875">
            <v>696</v>
          </cell>
          <cell r="L875">
            <v>590</v>
          </cell>
          <cell r="M875">
            <v>484</v>
          </cell>
          <cell r="N875">
            <v>333</v>
          </cell>
          <cell r="O875">
            <v>181</v>
          </cell>
          <cell r="P875">
            <v>1017</v>
          </cell>
          <cell r="Q875">
            <v>913</v>
          </cell>
          <cell r="R875">
            <v>764</v>
          </cell>
          <cell r="S875">
            <v>663</v>
          </cell>
          <cell r="T875">
            <v>561</v>
          </cell>
          <cell r="U875">
            <v>395</v>
          </cell>
          <cell r="V875">
            <v>229</v>
          </cell>
          <cell r="W875">
            <v>749</v>
          </cell>
          <cell r="X875">
            <v>663</v>
          </cell>
          <cell r="Y875">
            <v>545</v>
          </cell>
          <cell r="Z875">
            <v>469</v>
          </cell>
          <cell r="AA875">
            <v>393</v>
          </cell>
          <cell r="AB875">
            <v>276</v>
          </cell>
          <cell r="AC875">
            <v>158</v>
          </cell>
        </row>
        <row r="876">
          <cell r="A876" t="str">
            <v>13-16-30</v>
          </cell>
          <cell r="B876">
            <v>1204</v>
          </cell>
          <cell r="C876">
            <v>1067</v>
          </cell>
          <cell r="D876">
            <v>877</v>
          </cell>
          <cell r="E876">
            <v>751</v>
          </cell>
          <cell r="F876">
            <v>624</v>
          </cell>
          <cell r="G876">
            <v>431</v>
          </cell>
          <cell r="H876">
            <v>238</v>
          </cell>
          <cell r="I876">
            <v>951</v>
          </cell>
          <cell r="J876">
            <v>825</v>
          </cell>
          <cell r="K876">
            <v>665</v>
          </cell>
          <cell r="L876">
            <v>565</v>
          </cell>
          <cell r="M876">
            <v>464</v>
          </cell>
          <cell r="N876">
            <v>319</v>
          </cell>
          <cell r="O876">
            <v>173</v>
          </cell>
          <cell r="P876">
            <v>903</v>
          </cell>
          <cell r="Q876">
            <v>816</v>
          </cell>
          <cell r="R876">
            <v>687</v>
          </cell>
          <cell r="S876">
            <v>597</v>
          </cell>
          <cell r="T876">
            <v>507</v>
          </cell>
          <cell r="U876">
            <v>357</v>
          </cell>
          <cell r="V876">
            <v>207</v>
          </cell>
          <cell r="W876">
            <v>713</v>
          </cell>
          <cell r="X876">
            <v>631</v>
          </cell>
          <cell r="Y876">
            <v>521</v>
          </cell>
          <cell r="Z876">
            <v>449</v>
          </cell>
          <cell r="AA876">
            <v>377</v>
          </cell>
          <cell r="AB876">
            <v>264</v>
          </cell>
          <cell r="AC876">
            <v>151</v>
          </cell>
        </row>
        <row r="877">
          <cell r="A877" t="str">
            <v>13-17-30</v>
          </cell>
          <cell r="B877">
            <v>1055</v>
          </cell>
          <cell r="C877">
            <v>933</v>
          </cell>
          <cell r="D877">
            <v>773</v>
          </cell>
          <cell r="E877">
            <v>663</v>
          </cell>
          <cell r="F877">
            <v>553</v>
          </cell>
          <cell r="G877">
            <v>382</v>
          </cell>
          <cell r="H877">
            <v>211</v>
          </cell>
          <cell r="I877">
            <v>909</v>
          </cell>
          <cell r="J877">
            <v>785</v>
          </cell>
          <cell r="K877">
            <v>634</v>
          </cell>
          <cell r="L877">
            <v>539</v>
          </cell>
          <cell r="M877">
            <v>443</v>
          </cell>
          <cell r="N877">
            <v>304</v>
          </cell>
          <cell r="O877">
            <v>164</v>
          </cell>
          <cell r="P877">
            <v>791</v>
          </cell>
          <cell r="Q877">
            <v>714</v>
          </cell>
          <cell r="R877">
            <v>605</v>
          </cell>
          <cell r="S877">
            <v>527</v>
          </cell>
          <cell r="T877">
            <v>449</v>
          </cell>
          <cell r="U877">
            <v>316</v>
          </cell>
          <cell r="V877">
            <v>183</v>
          </cell>
          <cell r="W877">
            <v>681</v>
          </cell>
          <cell r="X877">
            <v>601</v>
          </cell>
          <cell r="Y877">
            <v>496</v>
          </cell>
          <cell r="Z877">
            <v>428</v>
          </cell>
          <cell r="AA877">
            <v>359</v>
          </cell>
          <cell r="AB877">
            <v>251</v>
          </cell>
          <cell r="AC877">
            <v>142</v>
          </cell>
        </row>
        <row r="878">
          <cell r="A878" t="str">
            <v>13-18-30</v>
          </cell>
          <cell r="B878">
            <v>879</v>
          </cell>
          <cell r="C878">
            <v>783</v>
          </cell>
          <cell r="D878">
            <v>652</v>
          </cell>
          <cell r="E878">
            <v>561</v>
          </cell>
          <cell r="F878">
            <v>469</v>
          </cell>
          <cell r="G878">
            <v>323</v>
          </cell>
          <cell r="H878">
            <v>177</v>
          </cell>
          <cell r="I878">
            <v>879</v>
          </cell>
          <cell r="J878">
            <v>742</v>
          </cell>
          <cell r="K878">
            <v>600</v>
          </cell>
          <cell r="L878">
            <v>510</v>
          </cell>
          <cell r="M878">
            <v>419</v>
          </cell>
          <cell r="N878">
            <v>287</v>
          </cell>
          <cell r="O878">
            <v>155</v>
          </cell>
          <cell r="P878">
            <v>659</v>
          </cell>
          <cell r="Q878">
            <v>599</v>
          </cell>
          <cell r="R878">
            <v>511</v>
          </cell>
          <cell r="S878">
            <v>446</v>
          </cell>
          <cell r="T878">
            <v>381</v>
          </cell>
          <cell r="U878">
            <v>268</v>
          </cell>
          <cell r="V878">
            <v>154</v>
          </cell>
          <cell r="W878">
            <v>659</v>
          </cell>
          <cell r="X878">
            <v>568</v>
          </cell>
          <cell r="Y878">
            <v>470</v>
          </cell>
          <cell r="Z878">
            <v>405</v>
          </cell>
          <cell r="AA878">
            <v>340</v>
          </cell>
          <cell r="AB878">
            <v>238</v>
          </cell>
          <cell r="AC878">
            <v>135</v>
          </cell>
        </row>
        <row r="879">
          <cell r="A879" t="str">
            <v>13-19-30</v>
          </cell>
          <cell r="B879">
            <v>828</v>
          </cell>
          <cell r="C879">
            <v>732</v>
          </cell>
          <cell r="D879">
            <v>589</v>
          </cell>
          <cell r="E879">
            <v>501</v>
          </cell>
          <cell r="F879">
            <v>413</v>
          </cell>
          <cell r="G879">
            <v>283</v>
          </cell>
          <cell r="H879">
            <v>152</v>
          </cell>
          <cell r="I879">
            <v>828</v>
          </cell>
          <cell r="J879">
            <v>732</v>
          </cell>
          <cell r="K879">
            <v>589</v>
          </cell>
          <cell r="L879">
            <v>501</v>
          </cell>
          <cell r="M879">
            <v>413</v>
          </cell>
          <cell r="N879">
            <v>283</v>
          </cell>
          <cell r="O879">
            <v>152</v>
          </cell>
          <cell r="P879">
            <v>621</v>
          </cell>
          <cell r="Q879">
            <v>560</v>
          </cell>
          <cell r="R879">
            <v>461</v>
          </cell>
          <cell r="S879">
            <v>398</v>
          </cell>
          <cell r="T879">
            <v>335</v>
          </cell>
          <cell r="U879">
            <v>234</v>
          </cell>
          <cell r="V879">
            <v>133</v>
          </cell>
          <cell r="W879">
            <v>621</v>
          </cell>
          <cell r="X879">
            <v>560</v>
          </cell>
          <cell r="Y879">
            <v>461</v>
          </cell>
          <cell r="Z879">
            <v>398</v>
          </cell>
          <cell r="AA879">
            <v>335</v>
          </cell>
          <cell r="AB879">
            <v>234</v>
          </cell>
          <cell r="AC879">
            <v>133</v>
          </cell>
        </row>
        <row r="880">
          <cell r="A880" t="str">
            <v>13-20-30</v>
          </cell>
          <cell r="B880">
            <v>777</v>
          </cell>
          <cell r="C880">
            <v>690</v>
          </cell>
          <cell r="D880">
            <v>557</v>
          </cell>
          <cell r="E880">
            <v>474</v>
          </cell>
          <cell r="F880">
            <v>391</v>
          </cell>
          <cell r="G880">
            <v>269</v>
          </cell>
          <cell r="H880">
            <v>146</v>
          </cell>
          <cell r="I880">
            <v>777</v>
          </cell>
          <cell r="J880">
            <v>690</v>
          </cell>
          <cell r="K880">
            <v>557</v>
          </cell>
          <cell r="L880">
            <v>474</v>
          </cell>
          <cell r="M880">
            <v>391</v>
          </cell>
          <cell r="N880">
            <v>269</v>
          </cell>
          <cell r="O880">
            <v>146</v>
          </cell>
          <cell r="P880">
            <v>582</v>
          </cell>
          <cell r="Q880">
            <v>528</v>
          </cell>
          <cell r="R880">
            <v>436</v>
          </cell>
          <cell r="S880">
            <v>377</v>
          </cell>
          <cell r="T880">
            <v>318</v>
          </cell>
          <cell r="U880">
            <v>223</v>
          </cell>
          <cell r="V880">
            <v>127</v>
          </cell>
          <cell r="W880">
            <v>582</v>
          </cell>
          <cell r="X880">
            <v>528</v>
          </cell>
          <cell r="Y880">
            <v>436</v>
          </cell>
          <cell r="Z880">
            <v>377</v>
          </cell>
          <cell r="AA880">
            <v>318</v>
          </cell>
          <cell r="AB880">
            <v>223</v>
          </cell>
          <cell r="AC880">
            <v>127</v>
          </cell>
        </row>
        <row r="881">
          <cell r="A881" t="str">
            <v>13-21-30</v>
          </cell>
          <cell r="B881">
            <v>722</v>
          </cell>
          <cell r="C881">
            <v>644</v>
          </cell>
          <cell r="D881">
            <v>528</v>
          </cell>
          <cell r="E881">
            <v>450</v>
          </cell>
          <cell r="F881">
            <v>372</v>
          </cell>
          <cell r="G881">
            <v>254</v>
          </cell>
          <cell r="H881">
            <v>135</v>
          </cell>
          <cell r="I881">
            <v>722</v>
          </cell>
          <cell r="J881">
            <v>644</v>
          </cell>
          <cell r="K881">
            <v>528</v>
          </cell>
          <cell r="L881">
            <v>450</v>
          </cell>
          <cell r="M881">
            <v>372</v>
          </cell>
          <cell r="N881">
            <v>254</v>
          </cell>
          <cell r="O881">
            <v>135</v>
          </cell>
          <cell r="P881">
            <v>541</v>
          </cell>
          <cell r="Q881">
            <v>492</v>
          </cell>
          <cell r="R881">
            <v>413</v>
          </cell>
          <cell r="S881">
            <v>358</v>
          </cell>
          <cell r="T881">
            <v>302</v>
          </cell>
          <cell r="U881">
            <v>210</v>
          </cell>
          <cell r="V881">
            <v>117</v>
          </cell>
          <cell r="W881">
            <v>541</v>
          </cell>
          <cell r="X881">
            <v>492</v>
          </cell>
          <cell r="Y881">
            <v>413</v>
          </cell>
          <cell r="Z881">
            <v>358</v>
          </cell>
          <cell r="AA881">
            <v>302</v>
          </cell>
          <cell r="AB881">
            <v>210</v>
          </cell>
          <cell r="AC881">
            <v>117</v>
          </cell>
        </row>
        <row r="882">
          <cell r="A882" t="str">
            <v>14-16-30</v>
          </cell>
          <cell r="B882">
            <v>1194</v>
          </cell>
          <cell r="C882">
            <v>1056</v>
          </cell>
          <cell r="D882">
            <v>867</v>
          </cell>
          <cell r="E882">
            <v>741</v>
          </cell>
          <cell r="F882">
            <v>614</v>
          </cell>
          <cell r="G882">
            <v>424</v>
          </cell>
          <cell r="H882">
            <v>233</v>
          </cell>
          <cell r="I882">
            <v>947</v>
          </cell>
          <cell r="J882">
            <v>822</v>
          </cell>
          <cell r="K882">
            <v>662</v>
          </cell>
          <cell r="L882">
            <v>562</v>
          </cell>
          <cell r="M882">
            <v>461</v>
          </cell>
          <cell r="N882">
            <v>316</v>
          </cell>
          <cell r="O882">
            <v>171</v>
          </cell>
          <cell r="P882">
            <v>895</v>
          </cell>
          <cell r="Q882">
            <v>808</v>
          </cell>
          <cell r="R882">
            <v>678</v>
          </cell>
          <cell r="S882">
            <v>589</v>
          </cell>
          <cell r="T882">
            <v>499</v>
          </cell>
          <cell r="U882">
            <v>351</v>
          </cell>
          <cell r="V882">
            <v>203</v>
          </cell>
          <cell r="W882">
            <v>710</v>
          </cell>
          <cell r="X882">
            <v>629</v>
          </cell>
          <cell r="Y882">
            <v>518</v>
          </cell>
          <cell r="Z882">
            <v>447</v>
          </cell>
          <cell r="AA882">
            <v>375</v>
          </cell>
          <cell r="AB882">
            <v>262</v>
          </cell>
          <cell r="AC882">
            <v>149</v>
          </cell>
        </row>
        <row r="883">
          <cell r="A883" t="str">
            <v>14-17-30</v>
          </cell>
          <cell r="B883">
            <v>1044</v>
          </cell>
          <cell r="C883">
            <v>921</v>
          </cell>
          <cell r="D883">
            <v>762</v>
          </cell>
          <cell r="E883">
            <v>653</v>
          </cell>
          <cell r="F883">
            <v>544</v>
          </cell>
          <cell r="G883">
            <v>375</v>
          </cell>
          <cell r="H883">
            <v>206</v>
          </cell>
          <cell r="I883">
            <v>906</v>
          </cell>
          <cell r="J883">
            <v>782</v>
          </cell>
          <cell r="K883">
            <v>632</v>
          </cell>
          <cell r="L883">
            <v>536</v>
          </cell>
          <cell r="M883">
            <v>440</v>
          </cell>
          <cell r="N883">
            <v>302</v>
          </cell>
          <cell r="O883">
            <v>163</v>
          </cell>
          <cell r="P883">
            <v>783</v>
          </cell>
          <cell r="Q883">
            <v>705</v>
          </cell>
          <cell r="R883">
            <v>596</v>
          </cell>
          <cell r="S883">
            <v>519</v>
          </cell>
          <cell r="T883">
            <v>442</v>
          </cell>
          <cell r="U883">
            <v>311</v>
          </cell>
          <cell r="V883">
            <v>180</v>
          </cell>
          <cell r="W883">
            <v>680</v>
          </cell>
          <cell r="X883">
            <v>599</v>
          </cell>
          <cell r="Y883">
            <v>494</v>
          </cell>
          <cell r="Z883">
            <v>426</v>
          </cell>
          <cell r="AA883">
            <v>357</v>
          </cell>
          <cell r="AB883">
            <v>250</v>
          </cell>
          <cell r="AC883">
            <v>142</v>
          </cell>
        </row>
        <row r="884">
          <cell r="A884" t="str">
            <v>14-18-30</v>
          </cell>
          <cell r="B884">
            <v>872</v>
          </cell>
          <cell r="C884">
            <v>776</v>
          </cell>
          <cell r="D884">
            <v>646</v>
          </cell>
          <cell r="E884">
            <v>555</v>
          </cell>
          <cell r="F884">
            <v>464</v>
          </cell>
          <cell r="G884">
            <v>320</v>
          </cell>
          <cell r="H884">
            <v>176</v>
          </cell>
          <cell r="I884">
            <v>851</v>
          </cell>
          <cell r="J884">
            <v>740</v>
          </cell>
          <cell r="K884">
            <v>599</v>
          </cell>
          <cell r="L884">
            <v>509</v>
          </cell>
          <cell r="M884">
            <v>418</v>
          </cell>
          <cell r="N884">
            <v>286</v>
          </cell>
          <cell r="O884">
            <v>153</v>
          </cell>
          <cell r="P884">
            <v>653</v>
          </cell>
          <cell r="Q884">
            <v>594</v>
          </cell>
          <cell r="R884">
            <v>506</v>
          </cell>
          <cell r="S884">
            <v>442</v>
          </cell>
          <cell r="T884">
            <v>377</v>
          </cell>
          <cell r="U884">
            <v>265</v>
          </cell>
          <cell r="V884">
            <v>153</v>
          </cell>
          <cell r="W884">
            <v>637</v>
          </cell>
          <cell r="X884">
            <v>566</v>
          </cell>
          <cell r="Y884">
            <v>469</v>
          </cell>
          <cell r="Z884">
            <v>404</v>
          </cell>
          <cell r="AA884">
            <v>339</v>
          </cell>
          <cell r="AB884">
            <v>236</v>
          </cell>
          <cell r="AC884">
            <v>133</v>
          </cell>
        </row>
        <row r="885">
          <cell r="A885" t="str">
            <v>14-19-30</v>
          </cell>
          <cell r="B885">
            <v>819</v>
          </cell>
          <cell r="C885">
            <v>725</v>
          </cell>
          <cell r="D885">
            <v>583</v>
          </cell>
          <cell r="E885">
            <v>495</v>
          </cell>
          <cell r="F885">
            <v>407</v>
          </cell>
          <cell r="G885">
            <v>279</v>
          </cell>
          <cell r="H885">
            <v>150</v>
          </cell>
          <cell r="I885">
            <v>819</v>
          </cell>
          <cell r="J885">
            <v>725</v>
          </cell>
          <cell r="K885">
            <v>583</v>
          </cell>
          <cell r="L885">
            <v>495</v>
          </cell>
          <cell r="M885">
            <v>407</v>
          </cell>
          <cell r="N885">
            <v>279</v>
          </cell>
          <cell r="O885">
            <v>150</v>
          </cell>
          <cell r="P885">
            <v>614</v>
          </cell>
          <cell r="Q885">
            <v>554</v>
          </cell>
          <cell r="R885">
            <v>456</v>
          </cell>
          <cell r="S885">
            <v>394</v>
          </cell>
          <cell r="T885">
            <v>331</v>
          </cell>
          <cell r="U885">
            <v>231</v>
          </cell>
          <cell r="V885">
            <v>130</v>
          </cell>
          <cell r="W885">
            <v>614</v>
          </cell>
          <cell r="X885">
            <v>554</v>
          </cell>
          <cell r="Y885">
            <v>456</v>
          </cell>
          <cell r="Z885">
            <v>394</v>
          </cell>
          <cell r="AA885">
            <v>331</v>
          </cell>
          <cell r="AB885">
            <v>231</v>
          </cell>
          <cell r="AC885">
            <v>130</v>
          </cell>
        </row>
        <row r="886">
          <cell r="A886" t="str">
            <v>14-20-30</v>
          </cell>
          <cell r="B886">
            <v>768</v>
          </cell>
          <cell r="C886">
            <v>682</v>
          </cell>
          <cell r="D886">
            <v>551</v>
          </cell>
          <cell r="E886">
            <v>469</v>
          </cell>
          <cell r="F886">
            <v>387</v>
          </cell>
          <cell r="G886">
            <v>266</v>
          </cell>
          <cell r="H886">
            <v>144</v>
          </cell>
          <cell r="I886">
            <v>768</v>
          </cell>
          <cell r="J886">
            <v>682</v>
          </cell>
          <cell r="K886">
            <v>551</v>
          </cell>
          <cell r="L886">
            <v>469</v>
          </cell>
          <cell r="M886">
            <v>387</v>
          </cell>
          <cell r="N886">
            <v>266</v>
          </cell>
          <cell r="O886">
            <v>144</v>
          </cell>
          <cell r="P886">
            <v>576</v>
          </cell>
          <cell r="Q886">
            <v>522</v>
          </cell>
          <cell r="R886">
            <v>432</v>
          </cell>
          <cell r="S886">
            <v>374</v>
          </cell>
          <cell r="T886">
            <v>315</v>
          </cell>
          <cell r="U886">
            <v>220</v>
          </cell>
          <cell r="V886">
            <v>125</v>
          </cell>
          <cell r="W886">
            <v>576</v>
          </cell>
          <cell r="X886">
            <v>522</v>
          </cell>
          <cell r="Y886">
            <v>432</v>
          </cell>
          <cell r="Z886">
            <v>374</v>
          </cell>
          <cell r="AA886">
            <v>315</v>
          </cell>
          <cell r="AB886">
            <v>220</v>
          </cell>
          <cell r="AC886">
            <v>125</v>
          </cell>
        </row>
        <row r="887">
          <cell r="A887" t="str">
            <v>14-21-30</v>
          </cell>
          <cell r="B887">
            <v>715</v>
          </cell>
          <cell r="C887">
            <v>638</v>
          </cell>
          <cell r="D887">
            <v>523</v>
          </cell>
          <cell r="E887">
            <v>445</v>
          </cell>
          <cell r="F887">
            <v>366</v>
          </cell>
          <cell r="G887">
            <v>251</v>
          </cell>
          <cell r="H887">
            <v>135</v>
          </cell>
          <cell r="I887">
            <v>715</v>
          </cell>
          <cell r="J887">
            <v>638</v>
          </cell>
          <cell r="K887">
            <v>523</v>
          </cell>
          <cell r="L887">
            <v>445</v>
          </cell>
          <cell r="M887">
            <v>366</v>
          </cell>
          <cell r="N887">
            <v>251</v>
          </cell>
          <cell r="O887">
            <v>135</v>
          </cell>
          <cell r="P887">
            <v>536</v>
          </cell>
          <cell r="Q887">
            <v>488</v>
          </cell>
          <cell r="R887">
            <v>410</v>
          </cell>
          <cell r="S887">
            <v>354</v>
          </cell>
          <cell r="T887">
            <v>297</v>
          </cell>
          <cell r="U887">
            <v>207</v>
          </cell>
          <cell r="V887">
            <v>117</v>
          </cell>
          <cell r="W887">
            <v>536</v>
          </cell>
          <cell r="X887">
            <v>488</v>
          </cell>
          <cell r="Y887">
            <v>410</v>
          </cell>
          <cell r="Z887">
            <v>354</v>
          </cell>
          <cell r="AA887">
            <v>297</v>
          </cell>
          <cell r="AB887">
            <v>207</v>
          </cell>
          <cell r="AC887">
            <v>117</v>
          </cell>
        </row>
        <row r="888">
          <cell r="A888" t="str">
            <v>14-22-30</v>
          </cell>
          <cell r="B888">
            <v>658</v>
          </cell>
          <cell r="C888">
            <v>589</v>
          </cell>
          <cell r="D888">
            <v>485</v>
          </cell>
          <cell r="E888">
            <v>414</v>
          </cell>
          <cell r="F888">
            <v>343</v>
          </cell>
          <cell r="G888">
            <v>233</v>
          </cell>
          <cell r="H888">
            <v>123</v>
          </cell>
          <cell r="I888">
            <v>658</v>
          </cell>
          <cell r="J888">
            <v>589</v>
          </cell>
          <cell r="K888">
            <v>485</v>
          </cell>
          <cell r="L888">
            <v>414</v>
          </cell>
          <cell r="M888">
            <v>343</v>
          </cell>
          <cell r="N888">
            <v>233</v>
          </cell>
          <cell r="O888">
            <v>123</v>
          </cell>
          <cell r="P888">
            <v>493</v>
          </cell>
          <cell r="Q888">
            <v>451</v>
          </cell>
          <cell r="R888">
            <v>379</v>
          </cell>
          <cell r="S888">
            <v>329</v>
          </cell>
          <cell r="T888">
            <v>279</v>
          </cell>
          <cell r="U888">
            <v>193</v>
          </cell>
          <cell r="V888">
            <v>107</v>
          </cell>
          <cell r="W888">
            <v>493</v>
          </cell>
          <cell r="X888">
            <v>451</v>
          </cell>
          <cell r="Y888">
            <v>379</v>
          </cell>
          <cell r="Z888">
            <v>329</v>
          </cell>
          <cell r="AA888">
            <v>279</v>
          </cell>
          <cell r="AB888">
            <v>193</v>
          </cell>
          <cell r="AC888">
            <v>107</v>
          </cell>
        </row>
        <row r="889">
          <cell r="A889" t="str">
            <v>15-17-30</v>
          </cell>
          <cell r="B889">
            <v>1031</v>
          </cell>
          <cell r="C889">
            <v>908</v>
          </cell>
          <cell r="D889">
            <v>749</v>
          </cell>
          <cell r="E889">
            <v>641</v>
          </cell>
          <cell r="F889">
            <v>533</v>
          </cell>
          <cell r="G889">
            <v>367</v>
          </cell>
          <cell r="H889">
            <v>201</v>
          </cell>
          <cell r="I889">
            <v>902</v>
          </cell>
          <cell r="J889">
            <v>777</v>
          </cell>
          <cell r="K889">
            <v>628</v>
          </cell>
          <cell r="L889">
            <v>532</v>
          </cell>
          <cell r="M889">
            <v>436</v>
          </cell>
          <cell r="N889">
            <v>299</v>
          </cell>
          <cell r="O889">
            <v>161</v>
          </cell>
          <cell r="P889">
            <v>773</v>
          </cell>
          <cell r="Q889">
            <v>695</v>
          </cell>
          <cell r="R889">
            <v>586</v>
          </cell>
          <cell r="S889">
            <v>510</v>
          </cell>
          <cell r="T889">
            <v>433</v>
          </cell>
          <cell r="U889">
            <v>304</v>
          </cell>
          <cell r="V889">
            <v>175</v>
          </cell>
          <cell r="W889">
            <v>676</v>
          </cell>
          <cell r="X889">
            <v>595</v>
          </cell>
          <cell r="Y889">
            <v>492</v>
          </cell>
          <cell r="Z889">
            <v>424</v>
          </cell>
          <cell r="AA889">
            <v>355</v>
          </cell>
          <cell r="AB889">
            <v>248</v>
          </cell>
          <cell r="AC889">
            <v>140</v>
          </cell>
        </row>
        <row r="890">
          <cell r="A890" t="str">
            <v>15-18-30</v>
          </cell>
          <cell r="B890">
            <v>863</v>
          </cell>
          <cell r="C890">
            <v>767</v>
          </cell>
          <cell r="D890">
            <v>638</v>
          </cell>
          <cell r="E890">
            <v>548</v>
          </cell>
          <cell r="F890">
            <v>458</v>
          </cell>
          <cell r="G890">
            <v>316</v>
          </cell>
          <cell r="H890">
            <v>173</v>
          </cell>
          <cell r="I890">
            <v>849</v>
          </cell>
          <cell r="J890">
            <v>737</v>
          </cell>
          <cell r="K890">
            <v>597</v>
          </cell>
          <cell r="L890">
            <v>507</v>
          </cell>
          <cell r="M890">
            <v>417</v>
          </cell>
          <cell r="N890">
            <v>285</v>
          </cell>
          <cell r="O890">
            <v>152</v>
          </cell>
          <cell r="P890">
            <v>647</v>
          </cell>
          <cell r="Q890">
            <v>587</v>
          </cell>
          <cell r="R890">
            <v>499</v>
          </cell>
          <cell r="S890">
            <v>436</v>
          </cell>
          <cell r="T890">
            <v>372</v>
          </cell>
          <cell r="U890">
            <v>262</v>
          </cell>
          <cell r="V890">
            <v>151</v>
          </cell>
          <cell r="W890">
            <v>637</v>
          </cell>
          <cell r="X890">
            <v>564</v>
          </cell>
          <cell r="Y890">
            <v>467</v>
          </cell>
          <cell r="Z890">
            <v>403</v>
          </cell>
          <cell r="AA890">
            <v>338</v>
          </cell>
          <cell r="AB890">
            <v>236</v>
          </cell>
          <cell r="AC890">
            <v>133</v>
          </cell>
        </row>
        <row r="891">
          <cell r="A891" t="str">
            <v>15-19-30</v>
          </cell>
          <cell r="B891">
            <v>811</v>
          </cell>
          <cell r="C891">
            <v>717</v>
          </cell>
          <cell r="D891">
            <v>576</v>
          </cell>
          <cell r="E891">
            <v>489</v>
          </cell>
          <cell r="F891">
            <v>402</v>
          </cell>
          <cell r="G891">
            <v>275</v>
          </cell>
          <cell r="H891">
            <v>148</v>
          </cell>
          <cell r="I891">
            <v>811</v>
          </cell>
          <cell r="J891">
            <v>717</v>
          </cell>
          <cell r="K891">
            <v>576</v>
          </cell>
          <cell r="L891">
            <v>489</v>
          </cell>
          <cell r="M891">
            <v>402</v>
          </cell>
          <cell r="N891">
            <v>275</v>
          </cell>
          <cell r="O891">
            <v>148</v>
          </cell>
          <cell r="P891">
            <v>608</v>
          </cell>
          <cell r="Q891">
            <v>549</v>
          </cell>
          <cell r="R891">
            <v>451</v>
          </cell>
          <cell r="S891">
            <v>389</v>
          </cell>
          <cell r="T891">
            <v>327</v>
          </cell>
          <cell r="U891">
            <v>228</v>
          </cell>
          <cell r="V891">
            <v>129</v>
          </cell>
          <cell r="W891">
            <v>608</v>
          </cell>
          <cell r="X891">
            <v>549</v>
          </cell>
          <cell r="Y891">
            <v>451</v>
          </cell>
          <cell r="Z891">
            <v>389</v>
          </cell>
          <cell r="AA891">
            <v>327</v>
          </cell>
          <cell r="AB891">
            <v>228</v>
          </cell>
          <cell r="AC891">
            <v>129</v>
          </cell>
        </row>
        <row r="892">
          <cell r="A892" t="str">
            <v>15-20-30</v>
          </cell>
          <cell r="B892">
            <v>760</v>
          </cell>
          <cell r="C892">
            <v>675</v>
          </cell>
          <cell r="D892">
            <v>545</v>
          </cell>
          <cell r="E892">
            <v>464</v>
          </cell>
          <cell r="F892">
            <v>382</v>
          </cell>
          <cell r="G892">
            <v>262</v>
          </cell>
          <cell r="H892">
            <v>141</v>
          </cell>
          <cell r="I892">
            <v>760</v>
          </cell>
          <cell r="J892">
            <v>675</v>
          </cell>
          <cell r="K892">
            <v>545</v>
          </cell>
          <cell r="L892">
            <v>464</v>
          </cell>
          <cell r="M892">
            <v>382</v>
          </cell>
          <cell r="N892">
            <v>262</v>
          </cell>
          <cell r="O892">
            <v>141</v>
          </cell>
          <cell r="P892">
            <v>570</v>
          </cell>
          <cell r="Q892">
            <v>516</v>
          </cell>
          <cell r="R892">
            <v>427</v>
          </cell>
          <cell r="S892">
            <v>369</v>
          </cell>
          <cell r="T892">
            <v>311</v>
          </cell>
          <cell r="U892">
            <v>217</v>
          </cell>
          <cell r="V892">
            <v>122</v>
          </cell>
          <cell r="W892">
            <v>570</v>
          </cell>
          <cell r="X892">
            <v>516</v>
          </cell>
          <cell r="Y892">
            <v>427</v>
          </cell>
          <cell r="Z892">
            <v>369</v>
          </cell>
          <cell r="AA892">
            <v>311</v>
          </cell>
          <cell r="AB892">
            <v>217</v>
          </cell>
          <cell r="AC892">
            <v>122</v>
          </cell>
        </row>
        <row r="893">
          <cell r="A893" t="str">
            <v>15-21-30</v>
          </cell>
          <cell r="B893">
            <v>707</v>
          </cell>
          <cell r="C893">
            <v>630</v>
          </cell>
          <cell r="D893">
            <v>517</v>
          </cell>
          <cell r="E893">
            <v>439</v>
          </cell>
          <cell r="F893">
            <v>361</v>
          </cell>
          <cell r="G893">
            <v>248</v>
          </cell>
          <cell r="H893">
            <v>134</v>
          </cell>
          <cell r="I893">
            <v>707</v>
          </cell>
          <cell r="J893">
            <v>630</v>
          </cell>
          <cell r="K893">
            <v>517</v>
          </cell>
          <cell r="L893">
            <v>439</v>
          </cell>
          <cell r="M893">
            <v>361</v>
          </cell>
          <cell r="N893">
            <v>248</v>
          </cell>
          <cell r="O893">
            <v>134</v>
          </cell>
          <cell r="P893">
            <v>530</v>
          </cell>
          <cell r="Q893">
            <v>482</v>
          </cell>
          <cell r="R893">
            <v>405</v>
          </cell>
          <cell r="S893">
            <v>349</v>
          </cell>
          <cell r="T893">
            <v>293</v>
          </cell>
          <cell r="U893">
            <v>205</v>
          </cell>
          <cell r="V893">
            <v>117</v>
          </cell>
          <cell r="W893">
            <v>530</v>
          </cell>
          <cell r="X893">
            <v>482</v>
          </cell>
          <cell r="Y893">
            <v>405</v>
          </cell>
          <cell r="Z893">
            <v>349</v>
          </cell>
          <cell r="AA893">
            <v>293</v>
          </cell>
          <cell r="AB893">
            <v>205</v>
          </cell>
          <cell r="AC893">
            <v>117</v>
          </cell>
        </row>
        <row r="894">
          <cell r="A894" t="str">
            <v>15-22-30</v>
          </cell>
          <cell r="B894">
            <v>653</v>
          </cell>
          <cell r="C894">
            <v>585</v>
          </cell>
          <cell r="D894">
            <v>482</v>
          </cell>
          <cell r="E894">
            <v>412</v>
          </cell>
          <cell r="F894">
            <v>342</v>
          </cell>
          <cell r="G894">
            <v>233</v>
          </cell>
          <cell r="H894">
            <v>124</v>
          </cell>
          <cell r="I894">
            <v>653</v>
          </cell>
          <cell r="J894">
            <v>585</v>
          </cell>
          <cell r="K894">
            <v>482</v>
          </cell>
          <cell r="L894">
            <v>412</v>
          </cell>
          <cell r="M894">
            <v>342</v>
          </cell>
          <cell r="N894">
            <v>233</v>
          </cell>
          <cell r="O894">
            <v>124</v>
          </cell>
          <cell r="P894">
            <v>489</v>
          </cell>
          <cell r="Q894">
            <v>447</v>
          </cell>
          <cell r="R894">
            <v>377</v>
          </cell>
          <cell r="S894">
            <v>328</v>
          </cell>
          <cell r="T894">
            <v>278</v>
          </cell>
          <cell r="U894">
            <v>193</v>
          </cell>
          <cell r="V894">
            <v>108</v>
          </cell>
          <cell r="W894">
            <v>489</v>
          </cell>
          <cell r="X894">
            <v>447</v>
          </cell>
          <cell r="Y894">
            <v>377</v>
          </cell>
          <cell r="Z894">
            <v>328</v>
          </cell>
          <cell r="AA894">
            <v>278</v>
          </cell>
          <cell r="AB894">
            <v>193</v>
          </cell>
          <cell r="AC894">
            <v>108</v>
          </cell>
        </row>
        <row r="895">
          <cell r="A895" t="str">
            <v>15-23-30</v>
          </cell>
          <cell r="B895">
            <v>592</v>
          </cell>
          <cell r="C895">
            <v>532</v>
          </cell>
          <cell r="D895">
            <v>441</v>
          </cell>
          <cell r="E895">
            <v>377</v>
          </cell>
          <cell r="F895">
            <v>313</v>
          </cell>
          <cell r="G895">
            <v>213</v>
          </cell>
          <cell r="H895">
            <v>112</v>
          </cell>
          <cell r="I895">
            <v>592</v>
          </cell>
          <cell r="J895">
            <v>532</v>
          </cell>
          <cell r="K895">
            <v>441</v>
          </cell>
          <cell r="L895">
            <v>377</v>
          </cell>
          <cell r="M895">
            <v>313</v>
          </cell>
          <cell r="N895">
            <v>213</v>
          </cell>
          <cell r="O895">
            <v>112</v>
          </cell>
          <cell r="P895">
            <v>444</v>
          </cell>
          <cell r="Q895">
            <v>407</v>
          </cell>
          <cell r="R895">
            <v>345</v>
          </cell>
          <cell r="S895">
            <v>300</v>
          </cell>
          <cell r="T895">
            <v>255</v>
          </cell>
          <cell r="U895">
            <v>177</v>
          </cell>
          <cell r="V895">
            <v>98</v>
          </cell>
          <cell r="W895">
            <v>444</v>
          </cell>
          <cell r="X895">
            <v>407</v>
          </cell>
          <cell r="Y895">
            <v>345</v>
          </cell>
          <cell r="Z895">
            <v>300</v>
          </cell>
          <cell r="AA895">
            <v>255</v>
          </cell>
          <cell r="AB895">
            <v>177</v>
          </cell>
          <cell r="AC895">
            <v>98</v>
          </cell>
        </row>
        <row r="896">
          <cell r="A896" t="str">
            <v>16-18-30</v>
          </cell>
          <cell r="B896">
            <v>854</v>
          </cell>
          <cell r="C896">
            <v>759</v>
          </cell>
          <cell r="D896">
            <v>624</v>
          </cell>
          <cell r="E896">
            <v>535</v>
          </cell>
          <cell r="F896">
            <v>446</v>
          </cell>
          <cell r="G896">
            <v>308</v>
          </cell>
          <cell r="H896">
            <v>169</v>
          </cell>
          <cell r="I896">
            <v>854</v>
          </cell>
          <cell r="J896">
            <v>736</v>
          </cell>
          <cell r="K896">
            <v>592</v>
          </cell>
          <cell r="L896">
            <v>502</v>
          </cell>
          <cell r="M896">
            <v>412</v>
          </cell>
          <cell r="N896">
            <v>282</v>
          </cell>
          <cell r="O896">
            <v>152</v>
          </cell>
          <cell r="P896">
            <v>640</v>
          </cell>
          <cell r="Q896">
            <v>580</v>
          </cell>
          <cell r="R896">
            <v>489</v>
          </cell>
          <cell r="S896">
            <v>426</v>
          </cell>
          <cell r="T896">
            <v>363</v>
          </cell>
          <cell r="U896">
            <v>255</v>
          </cell>
          <cell r="V896">
            <v>147</v>
          </cell>
          <cell r="W896">
            <v>640</v>
          </cell>
          <cell r="X896">
            <v>563</v>
          </cell>
          <cell r="Y896">
            <v>464</v>
          </cell>
          <cell r="Z896">
            <v>400</v>
          </cell>
          <cell r="AA896">
            <v>335</v>
          </cell>
          <cell r="AB896">
            <v>234</v>
          </cell>
          <cell r="AC896">
            <v>132</v>
          </cell>
        </row>
        <row r="897">
          <cell r="A897" t="str">
            <v>16-19-30</v>
          </cell>
          <cell r="B897">
            <v>803</v>
          </cell>
          <cell r="C897">
            <v>709</v>
          </cell>
          <cell r="D897">
            <v>569</v>
          </cell>
          <cell r="E897">
            <v>483</v>
          </cell>
          <cell r="F897">
            <v>397</v>
          </cell>
          <cell r="G897">
            <v>272</v>
          </cell>
          <cell r="H897">
            <v>146</v>
          </cell>
          <cell r="I897">
            <v>803</v>
          </cell>
          <cell r="J897">
            <v>709</v>
          </cell>
          <cell r="K897">
            <v>569</v>
          </cell>
          <cell r="L897">
            <v>483</v>
          </cell>
          <cell r="M897">
            <v>397</v>
          </cell>
          <cell r="N897">
            <v>272</v>
          </cell>
          <cell r="O897">
            <v>146</v>
          </cell>
          <cell r="P897">
            <v>602</v>
          </cell>
          <cell r="Q897">
            <v>542</v>
          </cell>
          <cell r="R897">
            <v>446</v>
          </cell>
          <cell r="S897">
            <v>385</v>
          </cell>
          <cell r="T897">
            <v>323</v>
          </cell>
          <cell r="U897">
            <v>225</v>
          </cell>
          <cell r="V897">
            <v>127</v>
          </cell>
          <cell r="W897">
            <v>602</v>
          </cell>
          <cell r="X897">
            <v>542</v>
          </cell>
          <cell r="Y897">
            <v>446</v>
          </cell>
          <cell r="Z897">
            <v>385</v>
          </cell>
          <cell r="AA897">
            <v>323</v>
          </cell>
          <cell r="AB897">
            <v>225</v>
          </cell>
          <cell r="AC897">
            <v>127</v>
          </cell>
        </row>
        <row r="898">
          <cell r="A898" t="str">
            <v>16-20-30</v>
          </cell>
          <cell r="B898">
            <v>750</v>
          </cell>
          <cell r="C898">
            <v>666</v>
          </cell>
          <cell r="D898">
            <v>538</v>
          </cell>
          <cell r="E898">
            <v>458</v>
          </cell>
          <cell r="F898">
            <v>377</v>
          </cell>
          <cell r="G898">
            <v>258</v>
          </cell>
          <cell r="H898">
            <v>138</v>
          </cell>
          <cell r="I898">
            <v>750</v>
          </cell>
          <cell r="J898">
            <v>666</v>
          </cell>
          <cell r="K898">
            <v>538</v>
          </cell>
          <cell r="L898">
            <v>458</v>
          </cell>
          <cell r="M898">
            <v>377</v>
          </cell>
          <cell r="N898">
            <v>258</v>
          </cell>
          <cell r="O898">
            <v>138</v>
          </cell>
          <cell r="P898">
            <v>562</v>
          </cell>
          <cell r="Q898">
            <v>509</v>
          </cell>
          <cell r="R898">
            <v>421</v>
          </cell>
          <cell r="S898">
            <v>364</v>
          </cell>
          <cell r="T898">
            <v>307</v>
          </cell>
          <cell r="U898">
            <v>214</v>
          </cell>
          <cell r="V898">
            <v>120</v>
          </cell>
          <cell r="W898">
            <v>562</v>
          </cell>
          <cell r="X898">
            <v>509</v>
          </cell>
          <cell r="Y898">
            <v>421</v>
          </cell>
          <cell r="Z898">
            <v>364</v>
          </cell>
          <cell r="AA898">
            <v>307</v>
          </cell>
          <cell r="AB898">
            <v>214</v>
          </cell>
          <cell r="AC898">
            <v>120</v>
          </cell>
        </row>
        <row r="899">
          <cell r="A899" t="str">
            <v>16-21-30</v>
          </cell>
          <cell r="B899">
            <v>699</v>
          </cell>
          <cell r="C899">
            <v>622</v>
          </cell>
          <cell r="D899">
            <v>510</v>
          </cell>
          <cell r="E899">
            <v>433</v>
          </cell>
          <cell r="F899">
            <v>356</v>
          </cell>
          <cell r="G899">
            <v>244</v>
          </cell>
          <cell r="H899">
            <v>132</v>
          </cell>
          <cell r="I899">
            <v>699</v>
          </cell>
          <cell r="J899">
            <v>622</v>
          </cell>
          <cell r="K899">
            <v>510</v>
          </cell>
          <cell r="L899">
            <v>433</v>
          </cell>
          <cell r="M899">
            <v>356</v>
          </cell>
          <cell r="N899">
            <v>244</v>
          </cell>
          <cell r="O899">
            <v>132</v>
          </cell>
          <cell r="P899">
            <v>524</v>
          </cell>
          <cell r="Q899">
            <v>476</v>
          </cell>
          <cell r="R899">
            <v>399</v>
          </cell>
          <cell r="S899">
            <v>344</v>
          </cell>
          <cell r="T899">
            <v>289</v>
          </cell>
          <cell r="U899">
            <v>202</v>
          </cell>
          <cell r="V899">
            <v>115</v>
          </cell>
          <cell r="W899">
            <v>524</v>
          </cell>
          <cell r="X899">
            <v>476</v>
          </cell>
          <cell r="Y899">
            <v>399</v>
          </cell>
          <cell r="Z899">
            <v>344</v>
          </cell>
          <cell r="AA899">
            <v>289</v>
          </cell>
          <cell r="AB899">
            <v>202</v>
          </cell>
          <cell r="AC899">
            <v>115</v>
          </cell>
        </row>
        <row r="900">
          <cell r="A900" t="str">
            <v>16-22-30</v>
          </cell>
          <cell r="B900">
            <v>645</v>
          </cell>
          <cell r="C900">
            <v>576</v>
          </cell>
          <cell r="D900">
            <v>476</v>
          </cell>
          <cell r="E900">
            <v>408</v>
          </cell>
          <cell r="F900">
            <v>339</v>
          </cell>
          <cell r="G900">
            <v>232</v>
          </cell>
          <cell r="H900">
            <v>124</v>
          </cell>
          <cell r="I900">
            <v>645</v>
          </cell>
          <cell r="J900">
            <v>576</v>
          </cell>
          <cell r="K900">
            <v>476</v>
          </cell>
          <cell r="L900">
            <v>408</v>
          </cell>
          <cell r="M900">
            <v>339</v>
          </cell>
          <cell r="N900">
            <v>232</v>
          </cell>
          <cell r="O900">
            <v>124</v>
          </cell>
          <cell r="P900">
            <v>483</v>
          </cell>
          <cell r="Q900">
            <v>441</v>
          </cell>
          <cell r="R900">
            <v>372</v>
          </cell>
          <cell r="S900">
            <v>324</v>
          </cell>
          <cell r="T900">
            <v>275</v>
          </cell>
          <cell r="U900">
            <v>192</v>
          </cell>
          <cell r="V900">
            <v>108</v>
          </cell>
          <cell r="W900">
            <v>483</v>
          </cell>
          <cell r="X900">
            <v>441</v>
          </cell>
          <cell r="Y900">
            <v>372</v>
          </cell>
          <cell r="Z900">
            <v>324</v>
          </cell>
          <cell r="AA900">
            <v>275</v>
          </cell>
          <cell r="AB900">
            <v>192</v>
          </cell>
          <cell r="AC900">
            <v>108</v>
          </cell>
        </row>
        <row r="901">
          <cell r="A901" t="str">
            <v>16-23-30</v>
          </cell>
          <cell r="B901">
            <v>587</v>
          </cell>
          <cell r="C901">
            <v>527</v>
          </cell>
          <cell r="D901">
            <v>437</v>
          </cell>
          <cell r="E901">
            <v>374</v>
          </cell>
          <cell r="F901">
            <v>311</v>
          </cell>
          <cell r="G901">
            <v>212</v>
          </cell>
          <cell r="H901">
            <v>112</v>
          </cell>
          <cell r="I901">
            <v>587</v>
          </cell>
          <cell r="J901">
            <v>527</v>
          </cell>
          <cell r="K901">
            <v>437</v>
          </cell>
          <cell r="L901">
            <v>374</v>
          </cell>
          <cell r="M901">
            <v>311</v>
          </cell>
          <cell r="N901">
            <v>212</v>
          </cell>
          <cell r="O901">
            <v>112</v>
          </cell>
          <cell r="P901">
            <v>440</v>
          </cell>
          <cell r="Q901">
            <v>404</v>
          </cell>
          <cell r="R901">
            <v>342</v>
          </cell>
          <cell r="S901">
            <v>298</v>
          </cell>
          <cell r="T901">
            <v>253</v>
          </cell>
          <cell r="U901">
            <v>176</v>
          </cell>
          <cell r="V901">
            <v>98</v>
          </cell>
          <cell r="W901">
            <v>440</v>
          </cell>
          <cell r="X901">
            <v>404</v>
          </cell>
          <cell r="Y901">
            <v>342</v>
          </cell>
          <cell r="Z901">
            <v>298</v>
          </cell>
          <cell r="AA901">
            <v>253</v>
          </cell>
          <cell r="AB901">
            <v>176</v>
          </cell>
          <cell r="AC901">
            <v>98</v>
          </cell>
        </row>
        <row r="902">
          <cell r="A902" t="str">
            <v>16-24-30</v>
          </cell>
          <cell r="B902">
            <v>525</v>
          </cell>
          <cell r="C902">
            <v>474</v>
          </cell>
          <cell r="D902">
            <v>394</v>
          </cell>
          <cell r="E902">
            <v>338</v>
          </cell>
          <cell r="F902">
            <v>282</v>
          </cell>
          <cell r="G902">
            <v>192</v>
          </cell>
          <cell r="H902">
            <v>102</v>
          </cell>
          <cell r="I902">
            <v>525</v>
          </cell>
          <cell r="J902">
            <v>474</v>
          </cell>
          <cell r="K902">
            <v>394</v>
          </cell>
          <cell r="L902">
            <v>338</v>
          </cell>
          <cell r="M902">
            <v>282</v>
          </cell>
          <cell r="N902">
            <v>192</v>
          </cell>
          <cell r="O902">
            <v>102</v>
          </cell>
          <cell r="P902">
            <v>393</v>
          </cell>
          <cell r="Q902">
            <v>363</v>
          </cell>
          <cell r="R902">
            <v>309</v>
          </cell>
          <cell r="S902">
            <v>269</v>
          </cell>
          <cell r="T902">
            <v>229</v>
          </cell>
          <cell r="U902">
            <v>159</v>
          </cell>
          <cell r="V902">
            <v>88</v>
          </cell>
          <cell r="W902">
            <v>393</v>
          </cell>
          <cell r="X902">
            <v>363</v>
          </cell>
          <cell r="Y902">
            <v>309</v>
          </cell>
          <cell r="Z902">
            <v>269</v>
          </cell>
          <cell r="AA902">
            <v>229</v>
          </cell>
          <cell r="AB902">
            <v>159</v>
          </cell>
          <cell r="AC902">
            <v>88</v>
          </cell>
        </row>
        <row r="903">
          <cell r="A903" t="str">
            <v>17-19-30</v>
          </cell>
          <cell r="B903">
            <v>793</v>
          </cell>
          <cell r="C903">
            <v>700</v>
          </cell>
          <cell r="D903">
            <v>562</v>
          </cell>
          <cell r="E903">
            <v>477</v>
          </cell>
          <cell r="F903">
            <v>391</v>
          </cell>
          <cell r="G903">
            <v>267</v>
          </cell>
          <cell r="H903">
            <v>143</v>
          </cell>
          <cell r="I903">
            <v>793</v>
          </cell>
          <cell r="J903">
            <v>700</v>
          </cell>
          <cell r="K903">
            <v>562</v>
          </cell>
          <cell r="L903">
            <v>477</v>
          </cell>
          <cell r="M903">
            <v>391</v>
          </cell>
          <cell r="N903">
            <v>267</v>
          </cell>
          <cell r="O903">
            <v>143</v>
          </cell>
          <cell r="P903">
            <v>595</v>
          </cell>
          <cell r="Q903">
            <v>535</v>
          </cell>
          <cell r="R903">
            <v>440</v>
          </cell>
          <cell r="S903">
            <v>379</v>
          </cell>
          <cell r="T903">
            <v>318</v>
          </cell>
          <cell r="U903">
            <v>222</v>
          </cell>
          <cell r="V903">
            <v>125</v>
          </cell>
          <cell r="W903">
            <v>595</v>
          </cell>
          <cell r="X903">
            <v>535</v>
          </cell>
          <cell r="Y903">
            <v>440</v>
          </cell>
          <cell r="Z903">
            <v>379</v>
          </cell>
          <cell r="AA903">
            <v>318</v>
          </cell>
          <cell r="AB903">
            <v>222</v>
          </cell>
          <cell r="AC903">
            <v>125</v>
          </cell>
        </row>
        <row r="904">
          <cell r="A904" t="str">
            <v>17-20-30</v>
          </cell>
          <cell r="B904">
            <v>741</v>
          </cell>
          <cell r="C904">
            <v>657</v>
          </cell>
          <cell r="D904">
            <v>537</v>
          </cell>
          <cell r="E904">
            <v>454</v>
          </cell>
          <cell r="F904">
            <v>371</v>
          </cell>
          <cell r="G904">
            <v>254</v>
          </cell>
          <cell r="H904">
            <v>136</v>
          </cell>
          <cell r="I904">
            <v>741</v>
          </cell>
          <cell r="J904">
            <v>657</v>
          </cell>
          <cell r="K904">
            <v>537</v>
          </cell>
          <cell r="L904">
            <v>454</v>
          </cell>
          <cell r="M904">
            <v>371</v>
          </cell>
          <cell r="N904">
            <v>254</v>
          </cell>
          <cell r="O904">
            <v>136</v>
          </cell>
          <cell r="P904">
            <v>555</v>
          </cell>
          <cell r="Q904">
            <v>503</v>
          </cell>
          <cell r="R904">
            <v>420</v>
          </cell>
          <cell r="S904">
            <v>361</v>
          </cell>
          <cell r="T904">
            <v>301</v>
          </cell>
          <cell r="U904">
            <v>210</v>
          </cell>
          <cell r="V904">
            <v>118</v>
          </cell>
          <cell r="W904">
            <v>555</v>
          </cell>
          <cell r="X904">
            <v>503</v>
          </cell>
          <cell r="Y904">
            <v>420</v>
          </cell>
          <cell r="Z904">
            <v>361</v>
          </cell>
          <cell r="AA904">
            <v>301</v>
          </cell>
          <cell r="AB904">
            <v>210</v>
          </cell>
          <cell r="AC904">
            <v>118</v>
          </cell>
        </row>
        <row r="905">
          <cell r="A905" t="str">
            <v>17-21-30</v>
          </cell>
          <cell r="B905">
            <v>689</v>
          </cell>
          <cell r="C905">
            <v>613</v>
          </cell>
          <cell r="D905">
            <v>503</v>
          </cell>
          <cell r="E905">
            <v>427</v>
          </cell>
          <cell r="F905">
            <v>351</v>
          </cell>
          <cell r="G905">
            <v>241</v>
          </cell>
          <cell r="H905">
            <v>131</v>
          </cell>
          <cell r="I905">
            <v>689</v>
          </cell>
          <cell r="J905">
            <v>613</v>
          </cell>
          <cell r="K905">
            <v>503</v>
          </cell>
          <cell r="L905">
            <v>427</v>
          </cell>
          <cell r="M905">
            <v>351</v>
          </cell>
          <cell r="N905">
            <v>241</v>
          </cell>
          <cell r="O905">
            <v>131</v>
          </cell>
          <cell r="P905">
            <v>517</v>
          </cell>
          <cell r="Q905">
            <v>469</v>
          </cell>
          <cell r="R905">
            <v>393</v>
          </cell>
          <cell r="S905">
            <v>339</v>
          </cell>
          <cell r="T905">
            <v>285</v>
          </cell>
          <cell r="U905">
            <v>200</v>
          </cell>
          <cell r="V905">
            <v>114</v>
          </cell>
          <cell r="W905">
            <v>517</v>
          </cell>
          <cell r="X905">
            <v>469</v>
          </cell>
          <cell r="Y905">
            <v>393</v>
          </cell>
          <cell r="Z905">
            <v>339</v>
          </cell>
          <cell r="AA905">
            <v>285</v>
          </cell>
          <cell r="AB905">
            <v>200</v>
          </cell>
          <cell r="AC905">
            <v>114</v>
          </cell>
        </row>
        <row r="906">
          <cell r="A906" t="str">
            <v>17-22-30</v>
          </cell>
          <cell r="B906">
            <v>636</v>
          </cell>
          <cell r="C906">
            <v>569</v>
          </cell>
          <cell r="D906">
            <v>468</v>
          </cell>
          <cell r="E906">
            <v>401</v>
          </cell>
          <cell r="F906">
            <v>333</v>
          </cell>
          <cell r="G906">
            <v>228</v>
          </cell>
          <cell r="H906">
            <v>122</v>
          </cell>
          <cell r="I906">
            <v>636</v>
          </cell>
          <cell r="J906">
            <v>569</v>
          </cell>
          <cell r="K906">
            <v>468</v>
          </cell>
          <cell r="L906">
            <v>401</v>
          </cell>
          <cell r="M906">
            <v>333</v>
          </cell>
          <cell r="N906">
            <v>228</v>
          </cell>
          <cell r="O906">
            <v>122</v>
          </cell>
          <cell r="P906">
            <v>477</v>
          </cell>
          <cell r="Q906">
            <v>435</v>
          </cell>
          <cell r="R906">
            <v>367</v>
          </cell>
          <cell r="S906">
            <v>319</v>
          </cell>
          <cell r="T906">
            <v>271</v>
          </cell>
          <cell r="U906">
            <v>189</v>
          </cell>
          <cell r="V906">
            <v>107</v>
          </cell>
          <cell r="W906">
            <v>477</v>
          </cell>
          <cell r="X906">
            <v>435</v>
          </cell>
          <cell r="Y906">
            <v>367</v>
          </cell>
          <cell r="Z906">
            <v>319</v>
          </cell>
          <cell r="AA906">
            <v>271</v>
          </cell>
          <cell r="AB906">
            <v>189</v>
          </cell>
          <cell r="AC906">
            <v>107</v>
          </cell>
        </row>
        <row r="907">
          <cell r="A907" t="str">
            <v>17-23-30</v>
          </cell>
          <cell r="B907">
            <v>581</v>
          </cell>
          <cell r="C907">
            <v>522</v>
          </cell>
          <cell r="D907">
            <v>432</v>
          </cell>
          <cell r="E907">
            <v>371</v>
          </cell>
          <cell r="F907">
            <v>310</v>
          </cell>
          <cell r="G907">
            <v>211</v>
          </cell>
          <cell r="H907">
            <v>112</v>
          </cell>
          <cell r="I907">
            <v>581</v>
          </cell>
          <cell r="J907">
            <v>522</v>
          </cell>
          <cell r="K907">
            <v>432</v>
          </cell>
          <cell r="L907">
            <v>371</v>
          </cell>
          <cell r="M907">
            <v>310</v>
          </cell>
          <cell r="N907">
            <v>211</v>
          </cell>
          <cell r="O907">
            <v>112</v>
          </cell>
          <cell r="P907">
            <v>436</v>
          </cell>
          <cell r="Q907">
            <v>399</v>
          </cell>
          <cell r="R907">
            <v>338</v>
          </cell>
          <cell r="S907">
            <v>295</v>
          </cell>
          <cell r="T907">
            <v>252</v>
          </cell>
          <cell r="U907">
            <v>175</v>
          </cell>
          <cell r="V907">
            <v>98</v>
          </cell>
          <cell r="W907">
            <v>436</v>
          </cell>
          <cell r="X907">
            <v>399</v>
          </cell>
          <cell r="Y907">
            <v>338</v>
          </cell>
          <cell r="Z907">
            <v>295</v>
          </cell>
          <cell r="AA907">
            <v>252</v>
          </cell>
          <cell r="AB907">
            <v>175</v>
          </cell>
          <cell r="AC907">
            <v>98</v>
          </cell>
        </row>
        <row r="908">
          <cell r="A908" t="str">
            <v>17-24-30</v>
          </cell>
          <cell r="B908">
            <v>519</v>
          </cell>
          <cell r="C908">
            <v>468</v>
          </cell>
          <cell r="D908">
            <v>390</v>
          </cell>
          <cell r="E908">
            <v>335</v>
          </cell>
          <cell r="F908">
            <v>280</v>
          </cell>
          <cell r="G908">
            <v>191</v>
          </cell>
          <cell r="H908">
            <v>102</v>
          </cell>
          <cell r="I908">
            <v>519</v>
          </cell>
          <cell r="J908">
            <v>468</v>
          </cell>
          <cell r="K908">
            <v>390</v>
          </cell>
          <cell r="L908">
            <v>335</v>
          </cell>
          <cell r="M908">
            <v>280</v>
          </cell>
          <cell r="N908">
            <v>191</v>
          </cell>
          <cell r="O908">
            <v>102</v>
          </cell>
          <cell r="P908">
            <v>389</v>
          </cell>
          <cell r="Q908">
            <v>358</v>
          </cell>
          <cell r="R908">
            <v>306</v>
          </cell>
          <cell r="S908">
            <v>267</v>
          </cell>
          <cell r="T908">
            <v>227</v>
          </cell>
          <cell r="U908">
            <v>158</v>
          </cell>
          <cell r="V908">
            <v>88</v>
          </cell>
          <cell r="W908">
            <v>389</v>
          </cell>
          <cell r="X908">
            <v>358</v>
          </cell>
          <cell r="Y908">
            <v>306</v>
          </cell>
          <cell r="Z908">
            <v>267</v>
          </cell>
          <cell r="AA908">
            <v>227</v>
          </cell>
          <cell r="AB908">
            <v>158</v>
          </cell>
          <cell r="AC908">
            <v>88</v>
          </cell>
        </row>
        <row r="909">
          <cell r="A909" t="str">
            <v>17-25-30</v>
          </cell>
          <cell r="B909">
            <v>455</v>
          </cell>
          <cell r="C909">
            <v>411</v>
          </cell>
          <cell r="D909">
            <v>346</v>
          </cell>
          <cell r="E909">
            <v>298</v>
          </cell>
          <cell r="F909">
            <v>250</v>
          </cell>
          <cell r="G909">
            <v>170</v>
          </cell>
          <cell r="H909">
            <v>90</v>
          </cell>
          <cell r="I909">
            <v>455</v>
          </cell>
          <cell r="J909">
            <v>411</v>
          </cell>
          <cell r="K909">
            <v>346</v>
          </cell>
          <cell r="L909">
            <v>298</v>
          </cell>
          <cell r="M909">
            <v>250</v>
          </cell>
          <cell r="N909">
            <v>170</v>
          </cell>
          <cell r="O909">
            <v>90</v>
          </cell>
          <cell r="P909">
            <v>341</v>
          </cell>
          <cell r="Q909">
            <v>315</v>
          </cell>
          <cell r="R909">
            <v>270</v>
          </cell>
          <cell r="S909">
            <v>237</v>
          </cell>
          <cell r="T909">
            <v>203</v>
          </cell>
          <cell r="U909">
            <v>141</v>
          </cell>
          <cell r="V909">
            <v>78</v>
          </cell>
          <cell r="W909">
            <v>341</v>
          </cell>
          <cell r="X909">
            <v>315</v>
          </cell>
          <cell r="Y909">
            <v>270</v>
          </cell>
          <cell r="Z909">
            <v>237</v>
          </cell>
          <cell r="AA909">
            <v>203</v>
          </cell>
          <cell r="AB909">
            <v>141</v>
          </cell>
          <cell r="AC909">
            <v>78</v>
          </cell>
        </row>
        <row r="910">
          <cell r="A910" t="str">
            <v>18-20-30</v>
          </cell>
          <cell r="B910">
            <v>731</v>
          </cell>
          <cell r="C910">
            <v>647</v>
          </cell>
          <cell r="D910">
            <v>528</v>
          </cell>
          <cell r="E910">
            <v>447</v>
          </cell>
          <cell r="F910">
            <v>366</v>
          </cell>
          <cell r="G910">
            <v>250</v>
          </cell>
          <cell r="H910">
            <v>133</v>
          </cell>
          <cell r="I910">
            <v>731</v>
          </cell>
          <cell r="J910">
            <v>647</v>
          </cell>
          <cell r="K910">
            <v>528</v>
          </cell>
          <cell r="L910">
            <v>447</v>
          </cell>
          <cell r="M910">
            <v>366</v>
          </cell>
          <cell r="N910">
            <v>250</v>
          </cell>
          <cell r="O910">
            <v>133</v>
          </cell>
          <cell r="P910">
            <v>548</v>
          </cell>
          <cell r="Q910">
            <v>495</v>
          </cell>
          <cell r="R910">
            <v>413</v>
          </cell>
          <cell r="S910">
            <v>355</v>
          </cell>
          <cell r="T910">
            <v>297</v>
          </cell>
          <cell r="U910">
            <v>207</v>
          </cell>
          <cell r="V910">
            <v>116</v>
          </cell>
          <cell r="W910">
            <v>548</v>
          </cell>
          <cell r="X910">
            <v>495</v>
          </cell>
          <cell r="Y910">
            <v>413</v>
          </cell>
          <cell r="Z910">
            <v>355</v>
          </cell>
          <cell r="AA910">
            <v>297</v>
          </cell>
          <cell r="AB910">
            <v>207</v>
          </cell>
          <cell r="AC910">
            <v>116</v>
          </cell>
        </row>
        <row r="911">
          <cell r="A911" t="str">
            <v>18-21-30</v>
          </cell>
          <cell r="B911">
            <v>680</v>
          </cell>
          <cell r="C911">
            <v>604</v>
          </cell>
          <cell r="D911">
            <v>495</v>
          </cell>
          <cell r="E911">
            <v>420</v>
          </cell>
          <cell r="F911">
            <v>345</v>
          </cell>
          <cell r="G911">
            <v>236</v>
          </cell>
          <cell r="H911">
            <v>126</v>
          </cell>
          <cell r="I911">
            <v>680</v>
          </cell>
          <cell r="J911">
            <v>604</v>
          </cell>
          <cell r="K911">
            <v>495</v>
          </cell>
          <cell r="L911">
            <v>420</v>
          </cell>
          <cell r="M911">
            <v>345</v>
          </cell>
          <cell r="N911">
            <v>236</v>
          </cell>
          <cell r="O911">
            <v>126</v>
          </cell>
          <cell r="P911">
            <v>510</v>
          </cell>
          <cell r="Q911">
            <v>462</v>
          </cell>
          <cell r="R911">
            <v>388</v>
          </cell>
          <cell r="S911">
            <v>334</v>
          </cell>
          <cell r="T911">
            <v>280</v>
          </cell>
          <cell r="U911">
            <v>195</v>
          </cell>
          <cell r="V911">
            <v>109</v>
          </cell>
          <cell r="W911">
            <v>510</v>
          </cell>
          <cell r="X911">
            <v>462</v>
          </cell>
          <cell r="Y911">
            <v>388</v>
          </cell>
          <cell r="Z911">
            <v>334</v>
          </cell>
          <cell r="AA911">
            <v>280</v>
          </cell>
          <cell r="AB911">
            <v>195</v>
          </cell>
          <cell r="AC911">
            <v>109</v>
          </cell>
        </row>
        <row r="912">
          <cell r="A912" t="str">
            <v>18-22-30</v>
          </cell>
          <cell r="B912">
            <v>625</v>
          </cell>
          <cell r="C912">
            <v>560</v>
          </cell>
          <cell r="D912">
            <v>461</v>
          </cell>
          <cell r="E912">
            <v>395</v>
          </cell>
          <cell r="F912">
            <v>328</v>
          </cell>
          <cell r="G912">
            <v>224</v>
          </cell>
          <cell r="H912">
            <v>120</v>
          </cell>
          <cell r="I912">
            <v>625</v>
          </cell>
          <cell r="J912">
            <v>560</v>
          </cell>
          <cell r="K912">
            <v>461</v>
          </cell>
          <cell r="L912">
            <v>395</v>
          </cell>
          <cell r="M912">
            <v>328</v>
          </cell>
          <cell r="N912">
            <v>224</v>
          </cell>
          <cell r="O912">
            <v>120</v>
          </cell>
          <cell r="P912">
            <v>469</v>
          </cell>
          <cell r="Q912">
            <v>428</v>
          </cell>
          <cell r="R912">
            <v>361</v>
          </cell>
          <cell r="S912">
            <v>314</v>
          </cell>
          <cell r="T912">
            <v>267</v>
          </cell>
          <cell r="U912">
            <v>186</v>
          </cell>
          <cell r="V912">
            <v>104</v>
          </cell>
          <cell r="W912">
            <v>469</v>
          </cell>
          <cell r="X912">
            <v>428</v>
          </cell>
          <cell r="Y912">
            <v>361</v>
          </cell>
          <cell r="Z912">
            <v>314</v>
          </cell>
          <cell r="AA912">
            <v>267</v>
          </cell>
          <cell r="AB912">
            <v>186</v>
          </cell>
          <cell r="AC912">
            <v>104</v>
          </cell>
        </row>
        <row r="913">
          <cell r="A913" t="str">
            <v>18-23-30</v>
          </cell>
          <cell r="B913">
            <v>572</v>
          </cell>
          <cell r="C913">
            <v>513</v>
          </cell>
          <cell r="D913">
            <v>425</v>
          </cell>
          <cell r="E913">
            <v>365</v>
          </cell>
          <cell r="F913">
            <v>305</v>
          </cell>
          <cell r="G913">
            <v>209</v>
          </cell>
          <cell r="H913">
            <v>112</v>
          </cell>
          <cell r="I913">
            <v>572</v>
          </cell>
          <cell r="J913">
            <v>513</v>
          </cell>
          <cell r="K913">
            <v>425</v>
          </cell>
          <cell r="L913">
            <v>365</v>
          </cell>
          <cell r="M913">
            <v>305</v>
          </cell>
          <cell r="N913">
            <v>209</v>
          </cell>
          <cell r="O913">
            <v>112</v>
          </cell>
          <cell r="P913">
            <v>429</v>
          </cell>
          <cell r="Q913">
            <v>392</v>
          </cell>
          <cell r="R913">
            <v>332</v>
          </cell>
          <cell r="S913">
            <v>290</v>
          </cell>
          <cell r="T913">
            <v>247</v>
          </cell>
          <cell r="U913">
            <v>173</v>
          </cell>
          <cell r="V913">
            <v>98</v>
          </cell>
          <cell r="W913">
            <v>429</v>
          </cell>
          <cell r="X913">
            <v>392</v>
          </cell>
          <cell r="Y913">
            <v>332</v>
          </cell>
          <cell r="Z913">
            <v>290</v>
          </cell>
          <cell r="AA913">
            <v>247</v>
          </cell>
          <cell r="AB913">
            <v>173</v>
          </cell>
          <cell r="AC913">
            <v>98</v>
          </cell>
        </row>
        <row r="914">
          <cell r="A914" t="str">
            <v>18-24-30</v>
          </cell>
          <cell r="B914">
            <v>513</v>
          </cell>
          <cell r="C914">
            <v>462</v>
          </cell>
          <cell r="D914">
            <v>386</v>
          </cell>
          <cell r="E914">
            <v>332</v>
          </cell>
          <cell r="F914">
            <v>277</v>
          </cell>
          <cell r="G914">
            <v>190</v>
          </cell>
          <cell r="H914">
            <v>102</v>
          </cell>
          <cell r="I914">
            <v>513</v>
          </cell>
          <cell r="J914">
            <v>462</v>
          </cell>
          <cell r="K914">
            <v>386</v>
          </cell>
          <cell r="L914">
            <v>332</v>
          </cell>
          <cell r="M914">
            <v>277</v>
          </cell>
          <cell r="N914">
            <v>190</v>
          </cell>
          <cell r="O914">
            <v>102</v>
          </cell>
          <cell r="P914">
            <v>385</v>
          </cell>
          <cell r="Q914">
            <v>354</v>
          </cell>
          <cell r="R914">
            <v>302</v>
          </cell>
          <cell r="S914">
            <v>264</v>
          </cell>
          <cell r="T914">
            <v>225</v>
          </cell>
          <cell r="U914">
            <v>157</v>
          </cell>
          <cell r="V914">
            <v>88</v>
          </cell>
          <cell r="W914">
            <v>385</v>
          </cell>
          <cell r="X914">
            <v>354</v>
          </cell>
          <cell r="Y914">
            <v>302</v>
          </cell>
          <cell r="Z914">
            <v>264</v>
          </cell>
          <cell r="AA914">
            <v>225</v>
          </cell>
          <cell r="AB914">
            <v>157</v>
          </cell>
          <cell r="AC914">
            <v>88</v>
          </cell>
        </row>
        <row r="915">
          <cell r="A915" t="str">
            <v>18-25-30</v>
          </cell>
          <cell r="B915">
            <v>450</v>
          </cell>
          <cell r="C915">
            <v>407</v>
          </cell>
          <cell r="D915">
            <v>342</v>
          </cell>
          <cell r="E915">
            <v>295</v>
          </cell>
          <cell r="F915">
            <v>247</v>
          </cell>
          <cell r="G915">
            <v>169</v>
          </cell>
          <cell r="H915">
            <v>90</v>
          </cell>
          <cell r="I915">
            <v>450</v>
          </cell>
          <cell r="J915">
            <v>407</v>
          </cell>
          <cell r="K915">
            <v>342</v>
          </cell>
          <cell r="L915">
            <v>295</v>
          </cell>
          <cell r="M915">
            <v>247</v>
          </cell>
          <cell r="N915">
            <v>169</v>
          </cell>
          <cell r="O915">
            <v>90</v>
          </cell>
          <cell r="P915">
            <v>337</v>
          </cell>
          <cell r="Q915">
            <v>311</v>
          </cell>
          <cell r="R915">
            <v>268</v>
          </cell>
          <cell r="S915">
            <v>235</v>
          </cell>
          <cell r="T915">
            <v>201</v>
          </cell>
          <cell r="U915">
            <v>140</v>
          </cell>
          <cell r="V915">
            <v>78</v>
          </cell>
          <cell r="W915">
            <v>337</v>
          </cell>
          <cell r="X915">
            <v>311</v>
          </cell>
          <cell r="Y915">
            <v>268</v>
          </cell>
          <cell r="Z915">
            <v>235</v>
          </cell>
          <cell r="AA915">
            <v>201</v>
          </cell>
          <cell r="AB915">
            <v>140</v>
          </cell>
          <cell r="AC915">
            <v>78</v>
          </cell>
        </row>
        <row r="916">
          <cell r="A916" t="str">
            <v>19-21-30</v>
          </cell>
          <cell r="B916">
            <v>669</v>
          </cell>
          <cell r="C916">
            <v>595</v>
          </cell>
          <cell r="D916">
            <v>487</v>
          </cell>
          <cell r="E916">
            <v>414</v>
          </cell>
          <cell r="F916">
            <v>340</v>
          </cell>
          <cell r="G916">
            <v>232</v>
          </cell>
          <cell r="H916">
            <v>123</v>
          </cell>
          <cell r="I916">
            <v>669</v>
          </cell>
          <cell r="J916">
            <v>595</v>
          </cell>
          <cell r="K916">
            <v>487</v>
          </cell>
          <cell r="L916">
            <v>414</v>
          </cell>
          <cell r="M916">
            <v>340</v>
          </cell>
          <cell r="N916">
            <v>232</v>
          </cell>
          <cell r="O916">
            <v>123</v>
          </cell>
          <cell r="P916">
            <v>501</v>
          </cell>
          <cell r="Q916">
            <v>455</v>
          </cell>
          <cell r="R916">
            <v>381</v>
          </cell>
          <cell r="S916">
            <v>329</v>
          </cell>
          <cell r="T916">
            <v>276</v>
          </cell>
          <cell r="U916">
            <v>192</v>
          </cell>
          <cell r="V916">
            <v>107</v>
          </cell>
          <cell r="W916">
            <v>501</v>
          </cell>
          <cell r="X916">
            <v>455</v>
          </cell>
          <cell r="Y916">
            <v>381</v>
          </cell>
          <cell r="Z916">
            <v>329</v>
          </cell>
          <cell r="AA916">
            <v>276</v>
          </cell>
          <cell r="AB916">
            <v>192</v>
          </cell>
          <cell r="AC916">
            <v>107</v>
          </cell>
        </row>
        <row r="917">
          <cell r="A917" t="str">
            <v>19-22-30</v>
          </cell>
          <cell r="B917">
            <v>616</v>
          </cell>
          <cell r="C917">
            <v>550</v>
          </cell>
          <cell r="D917">
            <v>453</v>
          </cell>
          <cell r="E917">
            <v>388</v>
          </cell>
          <cell r="F917">
            <v>322</v>
          </cell>
          <cell r="G917">
            <v>220</v>
          </cell>
          <cell r="H917">
            <v>118</v>
          </cell>
          <cell r="I917">
            <v>616</v>
          </cell>
          <cell r="J917">
            <v>550</v>
          </cell>
          <cell r="K917">
            <v>453</v>
          </cell>
          <cell r="L917">
            <v>388</v>
          </cell>
          <cell r="M917">
            <v>322</v>
          </cell>
          <cell r="N917">
            <v>220</v>
          </cell>
          <cell r="O917">
            <v>118</v>
          </cell>
          <cell r="P917">
            <v>462</v>
          </cell>
          <cell r="Q917">
            <v>420</v>
          </cell>
          <cell r="R917">
            <v>354</v>
          </cell>
          <cell r="S917">
            <v>308</v>
          </cell>
          <cell r="T917">
            <v>262</v>
          </cell>
          <cell r="U917">
            <v>183</v>
          </cell>
          <cell r="V917">
            <v>103</v>
          </cell>
          <cell r="W917">
            <v>462</v>
          </cell>
          <cell r="X917">
            <v>420</v>
          </cell>
          <cell r="Y917">
            <v>354</v>
          </cell>
          <cell r="Z917">
            <v>308</v>
          </cell>
          <cell r="AA917">
            <v>262</v>
          </cell>
          <cell r="AB917">
            <v>183</v>
          </cell>
          <cell r="AC917">
            <v>103</v>
          </cell>
        </row>
        <row r="918">
          <cell r="A918" t="str">
            <v>19-23-30</v>
          </cell>
          <cell r="B918">
            <v>561</v>
          </cell>
          <cell r="C918">
            <v>504</v>
          </cell>
          <cell r="D918">
            <v>417</v>
          </cell>
          <cell r="E918">
            <v>358</v>
          </cell>
          <cell r="F918">
            <v>298</v>
          </cell>
          <cell r="G918">
            <v>204</v>
          </cell>
          <cell r="H918">
            <v>110</v>
          </cell>
          <cell r="I918">
            <v>561</v>
          </cell>
          <cell r="J918">
            <v>504</v>
          </cell>
          <cell r="K918">
            <v>417</v>
          </cell>
          <cell r="L918">
            <v>358</v>
          </cell>
          <cell r="M918">
            <v>298</v>
          </cell>
          <cell r="N918">
            <v>204</v>
          </cell>
          <cell r="O918">
            <v>110</v>
          </cell>
          <cell r="P918">
            <v>421</v>
          </cell>
          <cell r="Q918">
            <v>385</v>
          </cell>
          <cell r="R918">
            <v>327</v>
          </cell>
          <cell r="S918">
            <v>285</v>
          </cell>
          <cell r="T918">
            <v>242</v>
          </cell>
          <cell r="U918">
            <v>169</v>
          </cell>
          <cell r="V918">
            <v>96</v>
          </cell>
          <cell r="W918">
            <v>421</v>
          </cell>
          <cell r="X918">
            <v>385</v>
          </cell>
          <cell r="Y918">
            <v>327</v>
          </cell>
          <cell r="Z918">
            <v>285</v>
          </cell>
          <cell r="AA918">
            <v>242</v>
          </cell>
          <cell r="AB918">
            <v>169</v>
          </cell>
          <cell r="AC918">
            <v>96</v>
          </cell>
        </row>
        <row r="919">
          <cell r="A919" t="str">
            <v>19-24-30</v>
          </cell>
          <cell r="B919">
            <v>506</v>
          </cell>
          <cell r="C919">
            <v>456</v>
          </cell>
          <cell r="D919">
            <v>380</v>
          </cell>
          <cell r="E919">
            <v>328</v>
          </cell>
          <cell r="F919">
            <v>275</v>
          </cell>
          <cell r="G919">
            <v>189</v>
          </cell>
          <cell r="H919">
            <v>102</v>
          </cell>
          <cell r="I919">
            <v>506</v>
          </cell>
          <cell r="J919">
            <v>456</v>
          </cell>
          <cell r="K919">
            <v>380</v>
          </cell>
          <cell r="L919">
            <v>328</v>
          </cell>
          <cell r="M919">
            <v>275</v>
          </cell>
          <cell r="N919">
            <v>189</v>
          </cell>
          <cell r="O919">
            <v>102</v>
          </cell>
          <cell r="P919">
            <v>379</v>
          </cell>
          <cell r="Q919">
            <v>349</v>
          </cell>
          <cell r="R919">
            <v>297</v>
          </cell>
          <cell r="S919">
            <v>260</v>
          </cell>
          <cell r="T919">
            <v>223</v>
          </cell>
          <cell r="U919">
            <v>156</v>
          </cell>
          <cell r="V919">
            <v>88</v>
          </cell>
          <cell r="W919">
            <v>379</v>
          </cell>
          <cell r="X919">
            <v>349</v>
          </cell>
          <cell r="Y919">
            <v>297</v>
          </cell>
          <cell r="Z919">
            <v>260</v>
          </cell>
          <cell r="AA919">
            <v>223</v>
          </cell>
          <cell r="AB919">
            <v>156</v>
          </cell>
          <cell r="AC919">
            <v>88</v>
          </cell>
        </row>
        <row r="920">
          <cell r="A920" t="str">
            <v>19-25-30</v>
          </cell>
          <cell r="B920">
            <v>443</v>
          </cell>
          <cell r="C920">
            <v>401</v>
          </cell>
          <cell r="D920">
            <v>337</v>
          </cell>
          <cell r="E920">
            <v>291</v>
          </cell>
          <cell r="F920">
            <v>244</v>
          </cell>
          <cell r="G920">
            <v>167</v>
          </cell>
          <cell r="H920">
            <v>90</v>
          </cell>
          <cell r="I920">
            <v>443</v>
          </cell>
          <cell r="J920">
            <v>401</v>
          </cell>
          <cell r="K920">
            <v>337</v>
          </cell>
          <cell r="L920">
            <v>291</v>
          </cell>
          <cell r="M920">
            <v>244</v>
          </cell>
          <cell r="N920">
            <v>167</v>
          </cell>
          <cell r="O920">
            <v>90</v>
          </cell>
          <cell r="P920">
            <v>332</v>
          </cell>
          <cell r="Q920">
            <v>307</v>
          </cell>
          <cell r="R920">
            <v>264</v>
          </cell>
          <cell r="S920">
            <v>232</v>
          </cell>
          <cell r="T920">
            <v>199</v>
          </cell>
          <cell r="U920">
            <v>139</v>
          </cell>
          <cell r="V920">
            <v>78</v>
          </cell>
          <cell r="W920">
            <v>332</v>
          </cell>
          <cell r="X920">
            <v>307</v>
          </cell>
          <cell r="Y920">
            <v>264</v>
          </cell>
          <cell r="Z920">
            <v>232</v>
          </cell>
          <cell r="AA920">
            <v>199</v>
          </cell>
          <cell r="AB920">
            <v>139</v>
          </cell>
          <cell r="AC920">
            <v>78</v>
          </cell>
        </row>
        <row r="921">
          <cell r="A921" t="str">
            <v>20-22-30</v>
          </cell>
          <cell r="B921">
            <v>605</v>
          </cell>
          <cell r="C921">
            <v>539</v>
          </cell>
          <cell r="D921">
            <v>444</v>
          </cell>
          <cell r="E921">
            <v>380</v>
          </cell>
          <cell r="F921">
            <v>316</v>
          </cell>
          <cell r="G921">
            <v>216</v>
          </cell>
          <cell r="H921">
            <v>116</v>
          </cell>
          <cell r="I921">
            <v>605</v>
          </cell>
          <cell r="J921">
            <v>539</v>
          </cell>
          <cell r="K921">
            <v>444</v>
          </cell>
          <cell r="L921">
            <v>380</v>
          </cell>
          <cell r="M921">
            <v>316</v>
          </cell>
          <cell r="N921">
            <v>216</v>
          </cell>
          <cell r="O921">
            <v>116</v>
          </cell>
          <cell r="P921">
            <v>454</v>
          </cell>
          <cell r="Q921">
            <v>412</v>
          </cell>
          <cell r="R921">
            <v>348</v>
          </cell>
          <cell r="S921">
            <v>303</v>
          </cell>
          <cell r="T921">
            <v>257</v>
          </cell>
          <cell r="U921">
            <v>179</v>
          </cell>
          <cell r="V921">
            <v>101</v>
          </cell>
          <cell r="W921">
            <v>454</v>
          </cell>
          <cell r="X921">
            <v>412</v>
          </cell>
          <cell r="Y921">
            <v>348</v>
          </cell>
          <cell r="Z921">
            <v>303</v>
          </cell>
          <cell r="AA921">
            <v>257</v>
          </cell>
          <cell r="AB921">
            <v>179</v>
          </cell>
          <cell r="AC921">
            <v>101</v>
          </cell>
        </row>
        <row r="922">
          <cell r="A922" t="str">
            <v>20-23-30</v>
          </cell>
          <cell r="B922">
            <v>550</v>
          </cell>
          <cell r="C922">
            <v>493</v>
          </cell>
          <cell r="D922">
            <v>409</v>
          </cell>
          <cell r="E922">
            <v>351</v>
          </cell>
          <cell r="F922">
            <v>292</v>
          </cell>
          <cell r="G922">
            <v>200</v>
          </cell>
          <cell r="H922">
            <v>107</v>
          </cell>
          <cell r="I922">
            <v>550</v>
          </cell>
          <cell r="J922">
            <v>493</v>
          </cell>
          <cell r="K922">
            <v>409</v>
          </cell>
          <cell r="L922">
            <v>351</v>
          </cell>
          <cell r="M922">
            <v>292</v>
          </cell>
          <cell r="N922">
            <v>200</v>
          </cell>
          <cell r="O922">
            <v>107</v>
          </cell>
          <cell r="P922">
            <v>412</v>
          </cell>
          <cell r="Q922">
            <v>378</v>
          </cell>
          <cell r="R922">
            <v>320</v>
          </cell>
          <cell r="S922">
            <v>279</v>
          </cell>
          <cell r="T922">
            <v>237</v>
          </cell>
          <cell r="U922">
            <v>166</v>
          </cell>
          <cell r="V922">
            <v>94</v>
          </cell>
          <cell r="W922">
            <v>412</v>
          </cell>
          <cell r="X922">
            <v>378</v>
          </cell>
          <cell r="Y922">
            <v>320</v>
          </cell>
          <cell r="Z922">
            <v>279</v>
          </cell>
          <cell r="AA922">
            <v>237</v>
          </cell>
          <cell r="AB922">
            <v>166</v>
          </cell>
          <cell r="AC922">
            <v>94</v>
          </cell>
        </row>
        <row r="923">
          <cell r="A923" t="str">
            <v>20-24-30</v>
          </cell>
          <cell r="B923">
            <v>495</v>
          </cell>
          <cell r="C923">
            <v>446</v>
          </cell>
          <cell r="D923">
            <v>371</v>
          </cell>
          <cell r="E923">
            <v>320</v>
          </cell>
          <cell r="F923">
            <v>268</v>
          </cell>
          <cell r="G923">
            <v>184</v>
          </cell>
          <cell r="H923">
            <v>100</v>
          </cell>
          <cell r="I923">
            <v>495</v>
          </cell>
          <cell r="J923">
            <v>446</v>
          </cell>
          <cell r="K923">
            <v>371</v>
          </cell>
          <cell r="L923">
            <v>320</v>
          </cell>
          <cell r="M923">
            <v>268</v>
          </cell>
          <cell r="N923">
            <v>184</v>
          </cell>
          <cell r="O923">
            <v>100</v>
          </cell>
          <cell r="P923">
            <v>371</v>
          </cell>
          <cell r="Q923">
            <v>341</v>
          </cell>
          <cell r="R923">
            <v>291</v>
          </cell>
          <cell r="S923">
            <v>255</v>
          </cell>
          <cell r="T923">
            <v>218</v>
          </cell>
          <cell r="U923">
            <v>153</v>
          </cell>
          <cell r="V923">
            <v>87</v>
          </cell>
          <cell r="W923">
            <v>371</v>
          </cell>
          <cell r="X923">
            <v>341</v>
          </cell>
          <cell r="Y923">
            <v>291</v>
          </cell>
          <cell r="Z923">
            <v>255</v>
          </cell>
          <cell r="AA923">
            <v>218</v>
          </cell>
          <cell r="AB923">
            <v>153</v>
          </cell>
          <cell r="AC923">
            <v>87</v>
          </cell>
        </row>
        <row r="924">
          <cell r="A924" t="str">
            <v>20-25-30</v>
          </cell>
          <cell r="B924">
            <v>435</v>
          </cell>
          <cell r="C924">
            <v>395</v>
          </cell>
          <cell r="D924">
            <v>331</v>
          </cell>
          <cell r="E924">
            <v>286</v>
          </cell>
          <cell r="F924">
            <v>241</v>
          </cell>
          <cell r="G924">
            <v>165</v>
          </cell>
          <cell r="H924">
            <v>89</v>
          </cell>
          <cell r="I924">
            <v>435</v>
          </cell>
          <cell r="J924">
            <v>395</v>
          </cell>
          <cell r="K924">
            <v>331</v>
          </cell>
          <cell r="L924">
            <v>286</v>
          </cell>
          <cell r="M924">
            <v>241</v>
          </cell>
          <cell r="N924">
            <v>165</v>
          </cell>
          <cell r="O924">
            <v>89</v>
          </cell>
          <cell r="P924">
            <v>326</v>
          </cell>
          <cell r="Q924">
            <v>302</v>
          </cell>
          <cell r="R924">
            <v>259</v>
          </cell>
          <cell r="S924">
            <v>228</v>
          </cell>
          <cell r="T924">
            <v>196</v>
          </cell>
          <cell r="U924">
            <v>137</v>
          </cell>
          <cell r="V924">
            <v>78</v>
          </cell>
          <cell r="W924">
            <v>326</v>
          </cell>
          <cell r="X924">
            <v>302</v>
          </cell>
          <cell r="Y924">
            <v>259</v>
          </cell>
          <cell r="Z924">
            <v>228</v>
          </cell>
          <cell r="AA924">
            <v>196</v>
          </cell>
          <cell r="AB924">
            <v>137</v>
          </cell>
          <cell r="AC924">
            <v>78</v>
          </cell>
        </row>
        <row r="925">
          <cell r="A925" t="str">
            <v>18-23-26</v>
          </cell>
          <cell r="B925">
            <v>296</v>
          </cell>
          <cell r="C925">
            <v>265</v>
          </cell>
          <cell r="D925">
            <v>230</v>
          </cell>
          <cell r="E925">
            <v>203</v>
          </cell>
          <cell r="F925">
            <v>165</v>
          </cell>
          <cell r="G925">
            <v>110</v>
          </cell>
          <cell r="H925">
            <v>52</v>
          </cell>
          <cell r="I925">
            <v>296</v>
          </cell>
          <cell r="J925">
            <v>265</v>
          </cell>
          <cell r="K925">
            <v>230</v>
          </cell>
          <cell r="L925">
            <v>203</v>
          </cell>
          <cell r="M925">
            <v>165</v>
          </cell>
          <cell r="N925">
            <v>110</v>
          </cell>
          <cell r="O925">
            <v>52</v>
          </cell>
          <cell r="P925">
            <v>220</v>
          </cell>
          <cell r="Q925">
            <v>203</v>
          </cell>
          <cell r="R925">
            <v>181</v>
          </cell>
          <cell r="S925">
            <v>160</v>
          </cell>
          <cell r="T925">
            <v>139</v>
          </cell>
          <cell r="U925">
            <v>91</v>
          </cell>
          <cell r="V925">
            <v>44</v>
          </cell>
          <cell r="W925">
            <v>220</v>
          </cell>
          <cell r="X925">
            <v>203</v>
          </cell>
          <cell r="Y925">
            <v>181</v>
          </cell>
          <cell r="Z925">
            <v>160</v>
          </cell>
          <cell r="AA925">
            <v>139</v>
          </cell>
          <cell r="AB925">
            <v>91</v>
          </cell>
          <cell r="AC925">
            <v>44</v>
          </cell>
        </row>
        <row r="926">
          <cell r="A926" t="str">
            <v>18-23-27</v>
          </cell>
          <cell r="B926">
            <v>365</v>
          </cell>
          <cell r="C926">
            <v>330</v>
          </cell>
          <cell r="D926">
            <v>282</v>
          </cell>
          <cell r="E926">
            <v>247</v>
          </cell>
          <cell r="F926">
            <v>204</v>
          </cell>
          <cell r="G926">
            <v>142</v>
          </cell>
          <cell r="H926">
            <v>69</v>
          </cell>
          <cell r="I926">
            <v>365</v>
          </cell>
          <cell r="J926">
            <v>330</v>
          </cell>
          <cell r="K926">
            <v>282</v>
          </cell>
          <cell r="L926">
            <v>247</v>
          </cell>
          <cell r="M926">
            <v>204</v>
          </cell>
          <cell r="N926">
            <v>142</v>
          </cell>
          <cell r="O926">
            <v>69</v>
          </cell>
          <cell r="P926">
            <v>277</v>
          </cell>
          <cell r="Q926">
            <v>255</v>
          </cell>
          <cell r="R926">
            <v>223</v>
          </cell>
          <cell r="S926">
            <v>196</v>
          </cell>
          <cell r="T926">
            <v>172</v>
          </cell>
          <cell r="U926">
            <v>117</v>
          </cell>
          <cell r="V926">
            <v>60</v>
          </cell>
          <cell r="W926">
            <v>277</v>
          </cell>
          <cell r="X926">
            <v>255</v>
          </cell>
          <cell r="Y926">
            <v>223</v>
          </cell>
          <cell r="Z926">
            <v>196</v>
          </cell>
          <cell r="AA926">
            <v>172</v>
          </cell>
          <cell r="AB926">
            <v>117</v>
          </cell>
          <cell r="AC926">
            <v>60</v>
          </cell>
        </row>
        <row r="927">
          <cell r="A927" t="str">
            <v>16-21-25</v>
          </cell>
          <cell r="B927">
            <v>358</v>
          </cell>
          <cell r="C927">
            <v>321</v>
          </cell>
          <cell r="D927">
            <v>277</v>
          </cell>
          <cell r="E927">
            <v>237</v>
          </cell>
          <cell r="F927">
            <v>199</v>
          </cell>
          <cell r="G927">
            <v>135</v>
          </cell>
          <cell r="H927">
            <v>68</v>
          </cell>
          <cell r="I927">
            <v>358</v>
          </cell>
          <cell r="J927">
            <v>321</v>
          </cell>
          <cell r="K927">
            <v>277</v>
          </cell>
          <cell r="L927">
            <v>237</v>
          </cell>
          <cell r="M927">
            <v>199</v>
          </cell>
          <cell r="N927">
            <v>135</v>
          </cell>
          <cell r="O927">
            <v>68</v>
          </cell>
          <cell r="P927">
            <v>278</v>
          </cell>
          <cell r="Q927">
            <v>255</v>
          </cell>
          <cell r="R927">
            <v>224</v>
          </cell>
          <cell r="S927">
            <v>198</v>
          </cell>
          <cell r="T927">
            <v>170</v>
          </cell>
          <cell r="U927">
            <v>115</v>
          </cell>
          <cell r="V927">
            <v>68</v>
          </cell>
          <cell r="W927">
            <v>278</v>
          </cell>
          <cell r="X927">
            <v>255</v>
          </cell>
          <cell r="Y927">
            <v>224</v>
          </cell>
          <cell r="Z927">
            <v>198</v>
          </cell>
          <cell r="AA927">
            <v>170</v>
          </cell>
          <cell r="AB927">
            <v>115</v>
          </cell>
          <cell r="AC927">
            <v>68</v>
          </cell>
        </row>
        <row r="928">
          <cell r="A928" t="str">
            <v>16-21-24</v>
          </cell>
          <cell r="B928">
            <v>281</v>
          </cell>
          <cell r="C928">
            <v>251</v>
          </cell>
          <cell r="D928">
            <v>222</v>
          </cell>
          <cell r="E928">
            <v>183</v>
          </cell>
          <cell r="F928">
            <v>140</v>
          </cell>
          <cell r="G928">
            <v>82</v>
          </cell>
          <cell r="H928">
            <v>60</v>
          </cell>
          <cell r="I928">
            <v>281</v>
          </cell>
          <cell r="J928">
            <v>251</v>
          </cell>
          <cell r="K928">
            <v>222</v>
          </cell>
          <cell r="L928">
            <v>183</v>
          </cell>
          <cell r="M928">
            <v>140</v>
          </cell>
          <cell r="N928">
            <v>82</v>
          </cell>
          <cell r="O928">
            <v>60</v>
          </cell>
          <cell r="P928">
            <v>238</v>
          </cell>
          <cell r="Q928">
            <v>220</v>
          </cell>
          <cell r="R928">
            <v>194</v>
          </cell>
          <cell r="S928">
            <v>168</v>
          </cell>
          <cell r="T928">
            <v>140</v>
          </cell>
          <cell r="U928">
            <v>84</v>
          </cell>
          <cell r="V928">
            <v>48</v>
          </cell>
          <cell r="W928">
            <v>238</v>
          </cell>
          <cell r="X928">
            <v>220</v>
          </cell>
          <cell r="Y928">
            <v>194</v>
          </cell>
          <cell r="Z928">
            <v>168</v>
          </cell>
          <cell r="AA928">
            <v>140</v>
          </cell>
          <cell r="AB928">
            <v>84</v>
          </cell>
          <cell r="AC928">
            <v>48</v>
          </cell>
        </row>
        <row r="929">
          <cell r="A929" t="str">
            <v>16-19-23</v>
          </cell>
          <cell r="B929">
            <v>350</v>
          </cell>
          <cell r="C929">
            <v>310</v>
          </cell>
          <cell r="D929">
            <v>265</v>
          </cell>
          <cell r="E929">
            <v>230</v>
          </cell>
          <cell r="F929">
            <v>185</v>
          </cell>
          <cell r="G929">
            <v>125</v>
          </cell>
          <cell r="H929">
            <v>62</v>
          </cell>
          <cell r="I929">
            <v>350</v>
          </cell>
          <cell r="J929">
            <v>310</v>
          </cell>
          <cell r="K929">
            <v>265</v>
          </cell>
          <cell r="L929">
            <v>230</v>
          </cell>
          <cell r="M929">
            <v>185</v>
          </cell>
          <cell r="N929">
            <v>125</v>
          </cell>
          <cell r="O929">
            <v>62</v>
          </cell>
          <cell r="P929">
            <v>262</v>
          </cell>
          <cell r="Q929">
            <v>237</v>
          </cell>
          <cell r="R929">
            <v>208</v>
          </cell>
          <cell r="S929">
            <v>183</v>
          </cell>
          <cell r="T929">
            <v>150</v>
          </cell>
          <cell r="U929">
            <v>104</v>
          </cell>
          <cell r="V929">
            <v>54</v>
          </cell>
          <cell r="W929">
            <v>262</v>
          </cell>
          <cell r="X929">
            <v>237</v>
          </cell>
          <cell r="Y929">
            <v>208</v>
          </cell>
          <cell r="Z929">
            <v>183</v>
          </cell>
          <cell r="AA929">
            <v>150</v>
          </cell>
          <cell r="AB929">
            <v>104</v>
          </cell>
          <cell r="AC929">
            <v>54</v>
          </cell>
        </row>
        <row r="930">
          <cell r="A930" t="str">
            <v>16-19-22</v>
          </cell>
          <cell r="B930">
            <v>260</v>
          </cell>
          <cell r="C930">
            <v>230</v>
          </cell>
          <cell r="D930">
            <v>195</v>
          </cell>
          <cell r="E930">
            <v>160</v>
          </cell>
          <cell r="F930">
            <v>120</v>
          </cell>
          <cell r="G930">
            <v>70</v>
          </cell>
          <cell r="H930">
            <v>25</v>
          </cell>
          <cell r="I930">
            <v>260</v>
          </cell>
          <cell r="J930">
            <v>230</v>
          </cell>
          <cell r="K930">
            <v>195</v>
          </cell>
          <cell r="L930">
            <v>160</v>
          </cell>
          <cell r="M930">
            <v>120</v>
          </cell>
          <cell r="N930">
            <v>70</v>
          </cell>
          <cell r="O930">
            <v>25</v>
          </cell>
          <cell r="P930">
            <v>195</v>
          </cell>
          <cell r="Q930">
            <v>176</v>
          </cell>
          <cell r="R930">
            <v>153</v>
          </cell>
          <cell r="S930">
            <v>127</v>
          </cell>
          <cell r="T930">
            <v>97</v>
          </cell>
          <cell r="U930">
            <v>58</v>
          </cell>
          <cell r="V930">
            <v>22</v>
          </cell>
          <cell r="W930">
            <v>195</v>
          </cell>
          <cell r="X930">
            <v>176</v>
          </cell>
          <cell r="Y930">
            <v>153</v>
          </cell>
          <cell r="Z930">
            <v>127</v>
          </cell>
          <cell r="AA930">
            <v>97</v>
          </cell>
          <cell r="AB930">
            <v>58</v>
          </cell>
          <cell r="AC930">
            <v>22</v>
          </cell>
        </row>
        <row r="931">
          <cell r="A931" t="str">
            <v>17-20-24</v>
          </cell>
          <cell r="B931">
            <v>340</v>
          </cell>
          <cell r="C931">
            <v>305</v>
          </cell>
          <cell r="D931">
            <v>260</v>
          </cell>
          <cell r="E931">
            <v>220</v>
          </cell>
          <cell r="F931">
            <v>181</v>
          </cell>
          <cell r="G931">
            <v>122</v>
          </cell>
          <cell r="H931">
            <v>65</v>
          </cell>
          <cell r="I931">
            <v>340</v>
          </cell>
          <cell r="J931">
            <v>305</v>
          </cell>
          <cell r="K931">
            <v>260</v>
          </cell>
          <cell r="L931">
            <v>220</v>
          </cell>
          <cell r="M931">
            <v>181</v>
          </cell>
          <cell r="N931">
            <v>122</v>
          </cell>
          <cell r="O931">
            <v>65</v>
          </cell>
          <cell r="P931">
            <v>254</v>
          </cell>
          <cell r="Q931">
            <v>233</v>
          </cell>
          <cell r="R931">
            <v>204</v>
          </cell>
          <cell r="S931">
            <v>175</v>
          </cell>
          <cell r="T931">
            <v>146</v>
          </cell>
          <cell r="U931">
            <v>101</v>
          </cell>
          <cell r="V931">
            <v>57</v>
          </cell>
          <cell r="W931">
            <v>254</v>
          </cell>
          <cell r="X931">
            <v>233</v>
          </cell>
          <cell r="Y931">
            <v>204</v>
          </cell>
          <cell r="Z931">
            <v>175</v>
          </cell>
          <cell r="AA931">
            <v>146</v>
          </cell>
          <cell r="AB931">
            <v>101</v>
          </cell>
          <cell r="AC931">
            <v>57</v>
          </cell>
        </row>
        <row r="932">
          <cell r="A932" t="str">
            <v>17-20-23</v>
          </cell>
          <cell r="B932">
            <v>255</v>
          </cell>
          <cell r="C932">
            <v>225</v>
          </cell>
          <cell r="D932">
            <v>185</v>
          </cell>
          <cell r="E932">
            <v>150</v>
          </cell>
          <cell r="F932">
            <v>115</v>
          </cell>
          <cell r="G932">
            <v>70</v>
          </cell>
          <cell r="H932">
            <v>33</v>
          </cell>
          <cell r="I932">
            <v>255</v>
          </cell>
          <cell r="J932">
            <v>225</v>
          </cell>
          <cell r="K932">
            <v>185</v>
          </cell>
          <cell r="L932">
            <v>150</v>
          </cell>
          <cell r="M932">
            <v>115</v>
          </cell>
          <cell r="N932">
            <v>70</v>
          </cell>
          <cell r="O932">
            <v>33</v>
          </cell>
          <cell r="P932">
            <v>191</v>
          </cell>
          <cell r="Q932">
            <v>172</v>
          </cell>
          <cell r="R932">
            <v>145</v>
          </cell>
          <cell r="S932">
            <v>119</v>
          </cell>
          <cell r="T932">
            <v>93</v>
          </cell>
          <cell r="U932">
            <v>58</v>
          </cell>
          <cell r="V932">
            <v>29</v>
          </cell>
          <cell r="W932">
            <v>191</v>
          </cell>
          <cell r="X932">
            <v>172</v>
          </cell>
          <cell r="Y932">
            <v>145</v>
          </cell>
          <cell r="Z932">
            <v>119</v>
          </cell>
          <cell r="AA932">
            <v>93</v>
          </cell>
          <cell r="AB932">
            <v>58</v>
          </cell>
          <cell r="AC932">
            <v>29</v>
          </cell>
        </row>
        <row r="933">
          <cell r="A933" t="str">
            <v>17-20-22</v>
          </cell>
          <cell r="B933">
            <v>168</v>
          </cell>
          <cell r="C933">
            <v>140</v>
          </cell>
          <cell r="D933">
            <v>110</v>
          </cell>
          <cell r="E933">
            <v>80</v>
          </cell>
          <cell r="F933">
            <v>50</v>
          </cell>
          <cell r="G933">
            <v>25</v>
          </cell>
          <cell r="H933">
            <v>7</v>
          </cell>
          <cell r="I933">
            <v>168</v>
          </cell>
          <cell r="J933">
            <v>140</v>
          </cell>
          <cell r="K933">
            <v>110</v>
          </cell>
          <cell r="L933">
            <v>80</v>
          </cell>
          <cell r="M933">
            <v>50</v>
          </cell>
          <cell r="N933">
            <v>25</v>
          </cell>
          <cell r="O933">
            <v>7</v>
          </cell>
          <cell r="P933">
            <v>125</v>
          </cell>
          <cell r="Q933">
            <v>107</v>
          </cell>
          <cell r="R933">
            <v>86</v>
          </cell>
          <cell r="S933">
            <v>63</v>
          </cell>
          <cell r="T933">
            <v>40</v>
          </cell>
          <cell r="U933">
            <v>20</v>
          </cell>
          <cell r="V933">
            <v>6</v>
          </cell>
          <cell r="W933">
            <v>125</v>
          </cell>
          <cell r="X933">
            <v>107</v>
          </cell>
          <cell r="Y933">
            <v>86</v>
          </cell>
          <cell r="Z933">
            <v>63</v>
          </cell>
          <cell r="AA933">
            <v>40</v>
          </cell>
          <cell r="AB933">
            <v>20</v>
          </cell>
          <cell r="AC933">
            <v>6</v>
          </cell>
        </row>
        <row r="934">
          <cell r="A934" t="str">
            <v>18-21-24</v>
          </cell>
          <cell r="B934">
            <v>251</v>
          </cell>
          <cell r="C934">
            <v>228</v>
          </cell>
          <cell r="D934">
            <v>202</v>
          </cell>
          <cell r="E934">
            <v>178</v>
          </cell>
          <cell r="F934">
            <v>145</v>
          </cell>
          <cell r="G934">
            <v>95</v>
          </cell>
          <cell r="H934">
            <v>45</v>
          </cell>
          <cell r="I934">
            <v>251</v>
          </cell>
          <cell r="J934">
            <v>228</v>
          </cell>
          <cell r="K934">
            <v>202</v>
          </cell>
          <cell r="L934">
            <v>178</v>
          </cell>
          <cell r="M934">
            <v>145</v>
          </cell>
          <cell r="N934">
            <v>95</v>
          </cell>
          <cell r="O934">
            <v>45</v>
          </cell>
          <cell r="P934">
            <v>188</v>
          </cell>
          <cell r="Q934">
            <v>175</v>
          </cell>
          <cell r="R934">
            <v>158</v>
          </cell>
          <cell r="S934">
            <v>142</v>
          </cell>
          <cell r="T934">
            <v>117</v>
          </cell>
          <cell r="U934">
            <v>78</v>
          </cell>
          <cell r="V934">
            <v>39</v>
          </cell>
          <cell r="W934">
            <v>188</v>
          </cell>
          <cell r="X934">
            <v>175</v>
          </cell>
          <cell r="Y934">
            <v>158</v>
          </cell>
          <cell r="Z934">
            <v>142</v>
          </cell>
          <cell r="AA934">
            <v>117</v>
          </cell>
          <cell r="AB934">
            <v>78</v>
          </cell>
          <cell r="AC934">
            <v>39</v>
          </cell>
        </row>
        <row r="935">
          <cell r="A935" t="str">
            <v>18-21-25</v>
          </cell>
          <cell r="B935">
            <v>340</v>
          </cell>
          <cell r="C935">
            <v>309</v>
          </cell>
          <cell r="D935">
            <v>272</v>
          </cell>
          <cell r="E935">
            <v>236</v>
          </cell>
          <cell r="F935">
            <v>194</v>
          </cell>
          <cell r="G935">
            <v>136</v>
          </cell>
          <cell r="H935">
            <v>71</v>
          </cell>
          <cell r="I935">
            <v>340</v>
          </cell>
          <cell r="J935">
            <v>309</v>
          </cell>
          <cell r="K935">
            <v>272</v>
          </cell>
          <cell r="L935">
            <v>236</v>
          </cell>
          <cell r="M935">
            <v>194</v>
          </cell>
          <cell r="N935">
            <v>136</v>
          </cell>
          <cell r="O935">
            <v>71</v>
          </cell>
          <cell r="P935">
            <v>255</v>
          </cell>
          <cell r="Q935">
            <v>237</v>
          </cell>
          <cell r="R935">
            <v>213</v>
          </cell>
          <cell r="S935">
            <v>188</v>
          </cell>
          <cell r="T935">
            <v>157</v>
          </cell>
          <cell r="U935">
            <v>112</v>
          </cell>
          <cell r="V935">
            <v>61</v>
          </cell>
          <cell r="W935">
            <v>255</v>
          </cell>
          <cell r="X935">
            <v>237</v>
          </cell>
          <cell r="Y935">
            <v>213</v>
          </cell>
          <cell r="Z935">
            <v>188</v>
          </cell>
          <cell r="AA935">
            <v>157</v>
          </cell>
          <cell r="AB935">
            <v>112</v>
          </cell>
          <cell r="AC935">
            <v>61</v>
          </cell>
        </row>
        <row r="936">
          <cell r="A936" t="str">
            <v>20-22-26</v>
          </cell>
          <cell r="B936">
            <v>311</v>
          </cell>
          <cell r="C936">
            <v>276</v>
          </cell>
          <cell r="D936">
            <v>235</v>
          </cell>
          <cell r="E936">
            <v>199</v>
          </cell>
          <cell r="F936">
            <v>158</v>
          </cell>
          <cell r="G936">
            <v>110</v>
          </cell>
          <cell r="H936">
            <v>59</v>
          </cell>
          <cell r="I936">
            <v>311</v>
          </cell>
          <cell r="J936">
            <v>276</v>
          </cell>
          <cell r="K936">
            <v>235</v>
          </cell>
          <cell r="L936">
            <v>199</v>
          </cell>
          <cell r="M936">
            <v>158</v>
          </cell>
          <cell r="N936">
            <v>110</v>
          </cell>
          <cell r="O936">
            <v>59</v>
          </cell>
          <cell r="P936">
            <v>233</v>
          </cell>
          <cell r="Q936">
            <v>211</v>
          </cell>
          <cell r="R936">
            <v>184</v>
          </cell>
          <cell r="S936">
            <v>158</v>
          </cell>
          <cell r="T936">
            <v>128</v>
          </cell>
          <cell r="U936">
            <v>91</v>
          </cell>
          <cell r="V936">
            <v>51</v>
          </cell>
          <cell r="W936">
            <v>233</v>
          </cell>
          <cell r="X936">
            <v>211</v>
          </cell>
          <cell r="Y936">
            <v>184</v>
          </cell>
          <cell r="Z936">
            <v>158</v>
          </cell>
          <cell r="AA936">
            <v>128</v>
          </cell>
          <cell r="AB936">
            <v>91</v>
          </cell>
          <cell r="AC936">
            <v>51</v>
          </cell>
        </row>
        <row r="937">
          <cell r="A937" t="str">
            <v>20-22-25</v>
          </cell>
          <cell r="B937">
            <v>185</v>
          </cell>
          <cell r="C937">
            <v>161</v>
          </cell>
          <cell r="D937">
            <v>133</v>
          </cell>
          <cell r="E937">
            <v>111</v>
          </cell>
          <cell r="F937">
            <v>80</v>
          </cell>
          <cell r="G937">
            <v>52</v>
          </cell>
          <cell r="H937">
            <v>25</v>
          </cell>
          <cell r="I937">
            <v>185</v>
          </cell>
          <cell r="J937">
            <v>161</v>
          </cell>
          <cell r="K937">
            <v>133</v>
          </cell>
          <cell r="L937">
            <v>111</v>
          </cell>
          <cell r="M937">
            <v>80</v>
          </cell>
          <cell r="N937">
            <v>52</v>
          </cell>
          <cell r="O937">
            <v>25</v>
          </cell>
          <cell r="P937">
            <v>139</v>
          </cell>
          <cell r="Q937">
            <v>123</v>
          </cell>
          <cell r="R937">
            <v>104</v>
          </cell>
          <cell r="S937">
            <v>88</v>
          </cell>
          <cell r="T937">
            <v>65</v>
          </cell>
          <cell r="U937">
            <v>43</v>
          </cell>
          <cell r="V937">
            <v>22</v>
          </cell>
          <cell r="W937">
            <v>139</v>
          </cell>
          <cell r="X937">
            <v>123</v>
          </cell>
          <cell r="Y937">
            <v>104</v>
          </cell>
          <cell r="Z937">
            <v>88</v>
          </cell>
          <cell r="AA937">
            <v>65</v>
          </cell>
          <cell r="AB937">
            <v>43</v>
          </cell>
          <cell r="AC937">
            <v>22</v>
          </cell>
        </row>
        <row r="938">
          <cell r="A938" t="str">
            <v>19-22-26</v>
          </cell>
          <cell r="B938">
            <v>344</v>
          </cell>
          <cell r="C938">
            <v>311</v>
          </cell>
          <cell r="D938">
            <v>260</v>
          </cell>
          <cell r="E938">
            <v>229</v>
          </cell>
          <cell r="F938">
            <v>195</v>
          </cell>
          <cell r="G938">
            <v>137</v>
          </cell>
          <cell r="H938">
            <v>76</v>
          </cell>
          <cell r="I938">
            <v>344</v>
          </cell>
          <cell r="J938">
            <v>311</v>
          </cell>
          <cell r="K938">
            <v>260</v>
          </cell>
          <cell r="L938">
            <v>229</v>
          </cell>
          <cell r="M938">
            <v>195</v>
          </cell>
          <cell r="N938">
            <v>137</v>
          </cell>
          <cell r="O938">
            <v>76</v>
          </cell>
          <cell r="P938">
            <v>255</v>
          </cell>
          <cell r="Q938">
            <v>238</v>
          </cell>
          <cell r="R938">
            <v>206</v>
          </cell>
          <cell r="S938">
            <v>182</v>
          </cell>
          <cell r="T938">
            <v>155</v>
          </cell>
          <cell r="U938">
            <v>112</v>
          </cell>
          <cell r="V938">
            <v>63</v>
          </cell>
          <cell r="W938">
            <v>255</v>
          </cell>
          <cell r="X938">
            <v>238</v>
          </cell>
          <cell r="Y938">
            <v>206</v>
          </cell>
          <cell r="Z938">
            <v>182</v>
          </cell>
          <cell r="AA938">
            <v>155</v>
          </cell>
          <cell r="AB938">
            <v>112</v>
          </cell>
          <cell r="AC938">
            <v>63</v>
          </cell>
        </row>
        <row r="939">
          <cell r="A939" t="str">
            <v>15-19-23</v>
          </cell>
          <cell r="B939">
            <v>354</v>
          </cell>
          <cell r="C939">
            <v>325</v>
          </cell>
          <cell r="D939">
            <v>277</v>
          </cell>
          <cell r="E939">
            <v>240</v>
          </cell>
          <cell r="F939">
            <v>203</v>
          </cell>
          <cell r="G939">
            <v>140</v>
          </cell>
          <cell r="H939">
            <v>77</v>
          </cell>
          <cell r="I939">
            <v>354</v>
          </cell>
          <cell r="J939">
            <v>325</v>
          </cell>
          <cell r="K939">
            <v>277</v>
          </cell>
          <cell r="L939">
            <v>240</v>
          </cell>
          <cell r="M939">
            <v>203</v>
          </cell>
          <cell r="N939">
            <v>140</v>
          </cell>
          <cell r="O939">
            <v>77</v>
          </cell>
          <cell r="P939">
            <v>270</v>
          </cell>
          <cell r="Q939">
            <v>251</v>
          </cell>
          <cell r="R939">
            <v>217</v>
          </cell>
          <cell r="S939">
            <v>192</v>
          </cell>
          <cell r="T939">
            <v>166</v>
          </cell>
          <cell r="U939">
            <v>117</v>
          </cell>
          <cell r="V939">
            <v>68</v>
          </cell>
          <cell r="W939">
            <v>270</v>
          </cell>
          <cell r="X939">
            <v>251</v>
          </cell>
          <cell r="Y939">
            <v>217</v>
          </cell>
          <cell r="Z939">
            <v>192</v>
          </cell>
          <cell r="AA939">
            <v>166</v>
          </cell>
          <cell r="AB939">
            <v>117</v>
          </cell>
          <cell r="AC939">
            <v>68</v>
          </cell>
        </row>
      </sheetData>
      <sheetData sheetId="13" refreshError="1"/>
      <sheetData sheetId="14" refreshError="1"/>
      <sheetData sheetId="15">
        <row r="1">
          <cell r="A1">
            <v>6</v>
          </cell>
          <cell r="B1">
            <v>8.5000000000000006E-2</v>
          </cell>
        </row>
        <row r="2">
          <cell r="A2">
            <v>6.5</v>
          </cell>
          <cell r="B2">
            <v>0.111</v>
          </cell>
        </row>
        <row r="3">
          <cell r="A3">
            <v>7</v>
          </cell>
          <cell r="B3">
            <v>0.124</v>
          </cell>
        </row>
        <row r="4">
          <cell r="A4">
            <v>7.5</v>
          </cell>
          <cell r="B4">
            <v>0.13600000000000001</v>
          </cell>
        </row>
        <row r="5">
          <cell r="A5">
            <v>8</v>
          </cell>
          <cell r="B5">
            <v>0.14699999999999999</v>
          </cell>
        </row>
        <row r="6">
          <cell r="A6">
            <v>8.5</v>
          </cell>
          <cell r="B6">
            <v>0.158</v>
          </cell>
        </row>
        <row r="7">
          <cell r="A7">
            <v>9</v>
          </cell>
          <cell r="B7">
            <v>0.16800000000000001</v>
          </cell>
        </row>
        <row r="8">
          <cell r="A8">
            <v>9.5</v>
          </cell>
          <cell r="B8">
            <v>0.17799999999999999</v>
          </cell>
        </row>
        <row r="9">
          <cell r="A9">
            <v>10</v>
          </cell>
          <cell r="B9">
            <v>0.188</v>
          </cell>
        </row>
        <row r="10">
          <cell r="A10">
            <v>10.5</v>
          </cell>
          <cell r="B10">
            <v>0.19700000000000001</v>
          </cell>
        </row>
        <row r="11">
          <cell r="A11">
            <v>11</v>
          </cell>
          <cell r="B11">
            <v>0.20699999999999999</v>
          </cell>
        </row>
        <row r="12">
          <cell r="A12">
            <v>11.5</v>
          </cell>
          <cell r="B12">
            <v>0.217</v>
          </cell>
        </row>
        <row r="13">
          <cell r="A13">
            <v>12</v>
          </cell>
          <cell r="B13">
            <v>0.22600000000000001</v>
          </cell>
        </row>
        <row r="14">
          <cell r="A14">
            <v>12.5</v>
          </cell>
          <cell r="B14">
            <v>0.23599999999999999</v>
          </cell>
        </row>
        <row r="15">
          <cell r="A15">
            <v>13</v>
          </cell>
          <cell r="B15">
            <v>0.247</v>
          </cell>
        </row>
        <row r="16">
          <cell r="A16">
            <v>13.5</v>
          </cell>
          <cell r="B16">
            <v>0.25700000000000001</v>
          </cell>
        </row>
        <row r="17">
          <cell r="A17">
            <v>14</v>
          </cell>
          <cell r="B17">
            <v>0.26600000000000001</v>
          </cell>
        </row>
        <row r="18">
          <cell r="A18">
            <v>14.5</v>
          </cell>
          <cell r="B18">
            <v>0.27600000000000002</v>
          </cell>
        </row>
        <row r="19">
          <cell r="A19">
            <v>15</v>
          </cell>
          <cell r="B19">
            <v>0.28599999999999998</v>
          </cell>
        </row>
        <row r="20">
          <cell r="A20">
            <v>15.5</v>
          </cell>
          <cell r="B20">
            <v>0.29599999999999999</v>
          </cell>
        </row>
        <row r="21">
          <cell r="A21">
            <v>16</v>
          </cell>
          <cell r="B21">
            <v>0.30599999999999999</v>
          </cell>
        </row>
        <row r="22">
          <cell r="A22">
            <v>16.5</v>
          </cell>
          <cell r="B22">
            <v>0.315</v>
          </cell>
        </row>
        <row r="23">
          <cell r="A23">
            <v>17</v>
          </cell>
          <cell r="B23">
            <v>0.32600000000000001</v>
          </cell>
        </row>
        <row r="24">
          <cell r="A24">
            <v>17.5</v>
          </cell>
          <cell r="B24">
            <v>0.33600000000000002</v>
          </cell>
        </row>
        <row r="25">
          <cell r="A25">
            <v>18</v>
          </cell>
          <cell r="B25">
            <v>0.34599999999999997</v>
          </cell>
        </row>
        <row r="26">
          <cell r="A26">
            <v>18.5</v>
          </cell>
          <cell r="B26">
            <v>0.35499999999999998</v>
          </cell>
        </row>
        <row r="27">
          <cell r="A27">
            <v>19</v>
          </cell>
          <cell r="B27">
            <v>0.36499999999999999</v>
          </cell>
        </row>
        <row r="28">
          <cell r="A28">
            <v>19.5</v>
          </cell>
          <cell r="B28">
            <v>0.375</v>
          </cell>
        </row>
        <row r="29">
          <cell r="A29">
            <v>20</v>
          </cell>
          <cell r="B29">
            <v>0.38600000000000001</v>
          </cell>
        </row>
        <row r="30">
          <cell r="A30">
            <v>20.5</v>
          </cell>
          <cell r="B30">
            <v>0.39500000000000002</v>
          </cell>
        </row>
        <row r="31">
          <cell r="A31">
            <v>21</v>
          </cell>
          <cell r="B31">
            <v>0.40600000000000003</v>
          </cell>
        </row>
        <row r="32">
          <cell r="A32">
            <v>21.5</v>
          </cell>
          <cell r="B32">
            <v>0.41599999999999998</v>
          </cell>
        </row>
        <row r="33">
          <cell r="A33">
            <v>22</v>
          </cell>
          <cell r="B33">
            <v>0.42599999999999999</v>
          </cell>
        </row>
        <row r="34">
          <cell r="A34">
            <v>22.5</v>
          </cell>
          <cell r="B34">
            <v>0.435</v>
          </cell>
        </row>
        <row r="35">
          <cell r="A35">
            <v>23</v>
          </cell>
          <cell r="B35">
            <v>0.44600000000000001</v>
          </cell>
        </row>
        <row r="36">
          <cell r="A36">
            <v>23.5</v>
          </cell>
          <cell r="B36">
            <v>0.45600000000000002</v>
          </cell>
        </row>
        <row r="37">
          <cell r="A37">
            <v>24</v>
          </cell>
          <cell r="B37">
            <v>0.46700000000000003</v>
          </cell>
        </row>
        <row r="38">
          <cell r="A38">
            <v>24.5</v>
          </cell>
          <cell r="B38">
            <v>0.47599999999999998</v>
          </cell>
        </row>
        <row r="39">
          <cell r="A39">
            <v>25</v>
          </cell>
          <cell r="B39">
            <v>0.48599999999999999</v>
          </cell>
        </row>
        <row r="40">
          <cell r="A40">
            <v>25.5</v>
          </cell>
          <cell r="B40">
            <v>0.496</v>
          </cell>
        </row>
        <row r="41">
          <cell r="A41">
            <v>26</v>
          </cell>
          <cell r="B41">
            <v>0.50700000000000001</v>
          </cell>
        </row>
        <row r="42">
          <cell r="A42">
            <v>26.5</v>
          </cell>
          <cell r="B42">
            <v>0.51600000000000001</v>
          </cell>
        </row>
        <row r="43">
          <cell r="A43">
            <v>27</v>
          </cell>
          <cell r="B43">
            <v>0.52700000000000002</v>
          </cell>
        </row>
        <row r="44">
          <cell r="A44">
            <v>27.5</v>
          </cell>
          <cell r="B44">
            <v>0.53700000000000003</v>
          </cell>
        </row>
        <row r="45">
          <cell r="A45">
            <v>28</v>
          </cell>
          <cell r="B45">
            <v>0.54700000000000004</v>
          </cell>
        </row>
        <row r="46">
          <cell r="A46">
            <v>28.5</v>
          </cell>
          <cell r="B46">
            <v>0.55700000000000005</v>
          </cell>
        </row>
        <row r="47">
          <cell r="A47">
            <v>29</v>
          </cell>
          <cell r="B47">
            <v>0.56799999999999995</v>
          </cell>
        </row>
        <row r="48">
          <cell r="A48">
            <v>29.5</v>
          </cell>
          <cell r="B48">
            <v>0.57799999999999996</v>
          </cell>
        </row>
        <row r="49">
          <cell r="A49">
            <v>30</v>
          </cell>
          <cell r="B49">
            <v>0.58799999999999997</v>
          </cell>
        </row>
        <row r="50">
          <cell r="A50">
            <v>30.5</v>
          </cell>
          <cell r="B50">
            <v>0.59799999999999998</v>
          </cell>
        </row>
        <row r="51">
          <cell r="A51">
            <v>31</v>
          </cell>
          <cell r="B51">
            <v>0.60899999999999999</v>
          </cell>
        </row>
        <row r="52">
          <cell r="A52">
            <v>31.5</v>
          </cell>
          <cell r="B52">
            <v>0.61799999999999999</v>
          </cell>
        </row>
        <row r="53">
          <cell r="A53">
            <v>32</v>
          </cell>
          <cell r="B53">
            <v>0.628</v>
          </cell>
        </row>
        <row r="54">
          <cell r="A54">
            <v>32.5</v>
          </cell>
          <cell r="B54">
            <v>0.63900000000000001</v>
          </cell>
        </row>
        <row r="55">
          <cell r="A55">
            <v>33</v>
          </cell>
          <cell r="B55">
            <v>0.65</v>
          </cell>
        </row>
        <row r="56">
          <cell r="A56">
            <v>33.5</v>
          </cell>
          <cell r="B56">
            <v>0.65900000000000003</v>
          </cell>
        </row>
        <row r="57">
          <cell r="A57">
            <v>34</v>
          </cell>
          <cell r="B57">
            <v>0.67</v>
          </cell>
        </row>
        <row r="58">
          <cell r="A58">
            <v>34.5</v>
          </cell>
          <cell r="B58">
            <v>0.68</v>
          </cell>
        </row>
        <row r="59">
          <cell r="A59">
            <v>35</v>
          </cell>
          <cell r="B59">
            <v>0.69</v>
          </cell>
        </row>
        <row r="60">
          <cell r="A60">
            <v>35.5</v>
          </cell>
          <cell r="B60">
            <v>0.7</v>
          </cell>
        </row>
        <row r="61">
          <cell r="A61">
            <v>36</v>
          </cell>
          <cell r="B61">
            <v>0.71099999999999997</v>
          </cell>
        </row>
        <row r="62">
          <cell r="A62">
            <v>36.5</v>
          </cell>
          <cell r="B62">
            <v>0.72099999999999997</v>
          </cell>
        </row>
        <row r="63">
          <cell r="A63">
            <v>37</v>
          </cell>
          <cell r="B63">
            <v>0.73099999999999998</v>
          </cell>
        </row>
        <row r="64">
          <cell r="A64">
            <v>37.5</v>
          </cell>
          <cell r="B64">
            <v>0.74099999999999999</v>
          </cell>
        </row>
        <row r="65">
          <cell r="A65">
            <v>38</v>
          </cell>
          <cell r="B65">
            <v>0.752</v>
          </cell>
        </row>
        <row r="66">
          <cell r="A66">
            <v>38.5</v>
          </cell>
          <cell r="B66">
            <v>0.76200000000000001</v>
          </cell>
        </row>
        <row r="67">
          <cell r="A67">
            <v>39</v>
          </cell>
          <cell r="B67">
            <v>0.77300000000000002</v>
          </cell>
        </row>
        <row r="68">
          <cell r="A68">
            <v>39.5</v>
          </cell>
          <cell r="B68">
            <v>0.78300000000000003</v>
          </cell>
        </row>
        <row r="69">
          <cell r="A69">
            <v>40</v>
          </cell>
          <cell r="B69">
            <v>0.79200000000000004</v>
          </cell>
        </row>
        <row r="70">
          <cell r="A70">
            <v>40.5</v>
          </cell>
          <cell r="B70">
            <v>0.80300000000000005</v>
          </cell>
        </row>
        <row r="71">
          <cell r="A71">
            <v>41</v>
          </cell>
          <cell r="B71">
            <v>0.81399999999999995</v>
          </cell>
        </row>
        <row r="72">
          <cell r="A72">
            <v>41.5</v>
          </cell>
          <cell r="B72">
            <v>0.82399999999999995</v>
          </cell>
        </row>
        <row r="73">
          <cell r="A73">
            <v>42</v>
          </cell>
          <cell r="B73">
            <v>0.83399999999999996</v>
          </cell>
        </row>
        <row r="74">
          <cell r="A74">
            <v>42.5</v>
          </cell>
          <cell r="B74">
            <v>0.84499999999999997</v>
          </cell>
        </row>
        <row r="75">
          <cell r="A75">
            <v>43</v>
          </cell>
          <cell r="B75">
            <v>0.85499999999999998</v>
          </cell>
        </row>
        <row r="76">
          <cell r="A76">
            <v>43.5</v>
          </cell>
          <cell r="B76">
            <v>0.86499999999999999</v>
          </cell>
        </row>
        <row r="77">
          <cell r="A77">
            <v>44</v>
          </cell>
          <cell r="B77">
            <v>0.876</v>
          </cell>
        </row>
        <row r="78">
          <cell r="A78">
            <v>44.5</v>
          </cell>
          <cell r="B78">
            <v>0.88600000000000001</v>
          </cell>
        </row>
        <row r="79">
          <cell r="A79">
            <v>45</v>
          </cell>
          <cell r="B79">
            <v>0.89600000000000002</v>
          </cell>
        </row>
        <row r="80">
          <cell r="A80">
            <v>45.5</v>
          </cell>
          <cell r="B80">
            <v>0.90600000000000003</v>
          </cell>
        </row>
        <row r="81">
          <cell r="A81">
            <v>46</v>
          </cell>
          <cell r="B81">
            <v>0.91700000000000004</v>
          </cell>
        </row>
        <row r="82">
          <cell r="A82">
            <v>46.5</v>
          </cell>
          <cell r="B82">
            <v>0.92700000000000005</v>
          </cell>
        </row>
        <row r="83">
          <cell r="A83">
            <v>47</v>
          </cell>
          <cell r="B83">
            <v>0.93799999999999994</v>
          </cell>
        </row>
        <row r="84">
          <cell r="A84">
            <v>47.5</v>
          </cell>
          <cell r="B84">
            <v>0.94799999999999995</v>
          </cell>
        </row>
        <row r="85">
          <cell r="A85">
            <v>48</v>
          </cell>
          <cell r="B85">
            <v>0.95799999999999996</v>
          </cell>
        </row>
        <row r="86">
          <cell r="A86">
            <v>48.5</v>
          </cell>
          <cell r="B86">
            <v>0.96899999999999997</v>
          </cell>
        </row>
        <row r="87">
          <cell r="A87">
            <v>49</v>
          </cell>
          <cell r="B87">
            <v>0.98</v>
          </cell>
        </row>
        <row r="88">
          <cell r="A88">
            <v>49.5</v>
          </cell>
          <cell r="B88">
            <v>0.98899999999999999</v>
          </cell>
        </row>
        <row r="89">
          <cell r="A89">
            <v>50</v>
          </cell>
          <cell r="B89">
            <v>1</v>
          </cell>
        </row>
        <row r="90">
          <cell r="A90">
            <v>50.5</v>
          </cell>
          <cell r="B90">
            <v>1.01</v>
          </cell>
        </row>
        <row r="91">
          <cell r="A91">
            <v>51</v>
          </cell>
          <cell r="B91">
            <v>1.02</v>
          </cell>
        </row>
        <row r="92">
          <cell r="A92">
            <v>51.5</v>
          </cell>
          <cell r="B92">
            <v>1.0309999999999999</v>
          </cell>
        </row>
        <row r="93">
          <cell r="A93">
            <v>52</v>
          </cell>
          <cell r="B93">
            <v>1.042</v>
          </cell>
        </row>
        <row r="94">
          <cell r="A94">
            <v>52.5</v>
          </cell>
          <cell r="B94">
            <v>1.052</v>
          </cell>
        </row>
        <row r="95">
          <cell r="A95">
            <v>53</v>
          </cell>
          <cell r="B95">
            <v>1.0620000000000001</v>
          </cell>
        </row>
        <row r="96">
          <cell r="A96">
            <v>53.5</v>
          </cell>
          <cell r="B96">
            <v>1.073</v>
          </cell>
        </row>
        <row r="97">
          <cell r="A97">
            <v>54</v>
          </cell>
          <cell r="B97">
            <v>1.083</v>
          </cell>
        </row>
        <row r="98">
          <cell r="A98">
            <v>54.5</v>
          </cell>
          <cell r="B98">
            <v>1.0940000000000001</v>
          </cell>
        </row>
        <row r="99">
          <cell r="A99">
            <v>55</v>
          </cell>
          <cell r="B99">
            <v>1.105</v>
          </cell>
        </row>
        <row r="100">
          <cell r="A100">
            <v>55.5</v>
          </cell>
          <cell r="B100">
            <v>1.1140000000000001</v>
          </cell>
        </row>
        <row r="101">
          <cell r="A101">
            <v>56</v>
          </cell>
          <cell r="B101">
            <v>1.125</v>
          </cell>
        </row>
        <row r="102">
          <cell r="A102">
            <v>56.5</v>
          </cell>
          <cell r="B102">
            <v>1.1359999999999999</v>
          </cell>
        </row>
        <row r="103">
          <cell r="A103">
            <v>57</v>
          </cell>
          <cell r="B103">
            <v>1.1459999999999999</v>
          </cell>
        </row>
        <row r="104">
          <cell r="A104">
            <v>57.5</v>
          </cell>
          <cell r="B104">
            <v>1.1559999999999999</v>
          </cell>
        </row>
        <row r="105">
          <cell r="A105">
            <v>58</v>
          </cell>
          <cell r="B105">
            <v>1.167</v>
          </cell>
        </row>
        <row r="106">
          <cell r="A106">
            <v>58.5</v>
          </cell>
          <cell r="B106">
            <v>1.177</v>
          </cell>
        </row>
        <row r="107">
          <cell r="A107">
            <v>59</v>
          </cell>
          <cell r="B107">
            <v>1.1879999999999999</v>
          </cell>
        </row>
        <row r="108">
          <cell r="A108">
            <v>59.5</v>
          </cell>
          <cell r="B108">
            <v>1.1990000000000001</v>
          </cell>
        </row>
        <row r="109">
          <cell r="A109">
            <v>60</v>
          </cell>
          <cell r="B109">
            <v>1.2090000000000001</v>
          </cell>
        </row>
        <row r="110">
          <cell r="A110">
            <v>60.5</v>
          </cell>
          <cell r="B110">
            <v>1.2190000000000001</v>
          </cell>
        </row>
        <row r="111">
          <cell r="A111">
            <v>61</v>
          </cell>
          <cell r="B111">
            <v>1.23</v>
          </cell>
        </row>
        <row r="112">
          <cell r="A112">
            <v>61.5</v>
          </cell>
          <cell r="B112">
            <v>1.24</v>
          </cell>
        </row>
        <row r="113">
          <cell r="A113">
            <v>62</v>
          </cell>
          <cell r="B113">
            <v>1.2509999999999999</v>
          </cell>
        </row>
        <row r="114">
          <cell r="A114">
            <v>62.5</v>
          </cell>
          <cell r="B114">
            <v>1.2609999999999999</v>
          </cell>
        </row>
        <row r="115">
          <cell r="A115">
            <v>63</v>
          </cell>
          <cell r="B115">
            <v>1.272</v>
          </cell>
        </row>
        <row r="116">
          <cell r="A116">
            <v>63.5</v>
          </cell>
          <cell r="B116">
            <v>1.282</v>
          </cell>
        </row>
        <row r="117">
          <cell r="A117">
            <v>64</v>
          </cell>
          <cell r="B117">
            <v>1.292</v>
          </cell>
        </row>
        <row r="118">
          <cell r="A118">
            <v>64.5</v>
          </cell>
          <cell r="B118">
            <v>1.3029999999999999</v>
          </cell>
        </row>
        <row r="119">
          <cell r="A119">
            <v>65</v>
          </cell>
          <cell r="B119">
            <v>1.3140000000000001</v>
          </cell>
        </row>
        <row r="120">
          <cell r="A120">
            <v>65.5</v>
          </cell>
          <cell r="B120">
            <v>1.3240000000000001</v>
          </cell>
        </row>
        <row r="121">
          <cell r="A121">
            <v>66</v>
          </cell>
          <cell r="B121">
            <v>1.335</v>
          </cell>
        </row>
        <row r="122">
          <cell r="A122">
            <v>66.5</v>
          </cell>
          <cell r="B122">
            <v>1.345</v>
          </cell>
        </row>
        <row r="123">
          <cell r="A123">
            <v>67</v>
          </cell>
          <cell r="B123">
            <v>1.355</v>
          </cell>
        </row>
        <row r="124">
          <cell r="A124">
            <v>67.5</v>
          </cell>
          <cell r="B124">
            <v>1.3660000000000001</v>
          </cell>
        </row>
        <row r="125">
          <cell r="A125">
            <v>68</v>
          </cell>
          <cell r="B125">
            <v>1.377</v>
          </cell>
        </row>
        <row r="126">
          <cell r="A126">
            <v>68.5</v>
          </cell>
          <cell r="B126">
            <v>1.387</v>
          </cell>
        </row>
        <row r="127">
          <cell r="A127">
            <v>69</v>
          </cell>
          <cell r="B127">
            <v>1.3979999999999999</v>
          </cell>
        </row>
        <row r="128">
          <cell r="A128">
            <v>69.5</v>
          </cell>
          <cell r="B128">
            <v>1.4079999999999999</v>
          </cell>
        </row>
        <row r="129">
          <cell r="A129">
            <v>70</v>
          </cell>
          <cell r="B129">
            <v>1.419</v>
          </cell>
        </row>
      </sheetData>
      <sheetData sheetId="1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A445-C4F1-4B91-9E98-16E57733EA0E}">
  <dimension ref="A1:V28"/>
  <sheetViews>
    <sheetView workbookViewId="0">
      <selection activeCell="F3" sqref="F3:G3"/>
    </sheetView>
  </sheetViews>
  <sheetFormatPr baseColWidth="10" defaultRowHeight="12.75" x14ac:dyDescent="0.2"/>
  <cols>
    <col min="1" max="16384" width="11.42578125" style="101"/>
  </cols>
  <sheetData>
    <row r="1" spans="1:22" x14ac:dyDescent="0.2">
      <c r="C1" s="102" t="s">
        <v>1134</v>
      </c>
      <c r="D1" s="102" t="s">
        <v>1135</v>
      </c>
      <c r="E1" s="102" t="s">
        <v>1136</v>
      </c>
      <c r="F1" s="102" t="s">
        <v>1137</v>
      </c>
      <c r="G1" s="102" t="s">
        <v>1138</v>
      </c>
      <c r="H1" s="102" t="s">
        <v>1139</v>
      </c>
      <c r="I1" s="102" t="s">
        <v>1140</v>
      </c>
      <c r="J1" s="101" t="s">
        <v>1141</v>
      </c>
      <c r="M1" s="102" t="s">
        <v>1142</v>
      </c>
      <c r="N1" s="101" t="s">
        <v>1143</v>
      </c>
      <c r="O1" s="101" t="s">
        <v>1144</v>
      </c>
      <c r="P1" s="101" t="s">
        <v>1145</v>
      </c>
      <c r="Q1" s="101" t="s">
        <v>1146</v>
      </c>
      <c r="R1" s="101" t="s">
        <v>1147</v>
      </c>
      <c r="S1" s="101" t="s">
        <v>1148</v>
      </c>
      <c r="T1" s="101" t="s">
        <v>1149</v>
      </c>
      <c r="U1" s="101" t="s">
        <v>1150</v>
      </c>
      <c r="V1" s="102" t="s">
        <v>1151</v>
      </c>
    </row>
    <row r="2" spans="1:22" x14ac:dyDescent="0.2">
      <c r="A2" s="101">
        <v>750</v>
      </c>
      <c r="C2" s="101">
        <v>104</v>
      </c>
      <c r="D2" s="101">
        <v>125</v>
      </c>
      <c r="E2" s="101">
        <v>129</v>
      </c>
      <c r="F2" s="101">
        <v>158</v>
      </c>
      <c r="G2" s="101">
        <v>169</v>
      </c>
      <c r="H2" s="101">
        <v>186</v>
      </c>
      <c r="I2" s="101">
        <v>214</v>
      </c>
      <c r="J2" s="101">
        <v>520</v>
      </c>
      <c r="M2" s="101">
        <v>900</v>
      </c>
      <c r="N2" s="101">
        <v>93</v>
      </c>
      <c r="O2" s="101">
        <v>131</v>
      </c>
      <c r="P2" s="101">
        <v>175</v>
      </c>
      <c r="Q2" s="101">
        <v>196</v>
      </c>
      <c r="R2" s="101">
        <v>217</v>
      </c>
      <c r="S2" s="101">
        <v>232</v>
      </c>
      <c r="T2" s="101">
        <v>298</v>
      </c>
      <c r="U2" s="101">
        <v>329</v>
      </c>
    </row>
    <row r="3" spans="1:22" x14ac:dyDescent="0.2">
      <c r="A3" s="101">
        <v>850</v>
      </c>
      <c r="C3" s="101">
        <v>130</v>
      </c>
      <c r="D3" s="101">
        <v>158</v>
      </c>
      <c r="E3" s="101">
        <v>163</v>
      </c>
      <c r="F3" s="101">
        <v>198</v>
      </c>
      <c r="G3" s="101">
        <v>211</v>
      </c>
      <c r="H3" s="101">
        <v>232</v>
      </c>
      <c r="I3" s="101">
        <v>267</v>
      </c>
      <c r="J3" s="101">
        <v>620</v>
      </c>
      <c r="M3" s="101">
        <v>1000</v>
      </c>
      <c r="N3" s="101">
        <v>109</v>
      </c>
      <c r="O3" s="101">
        <v>153</v>
      </c>
      <c r="P3" s="101">
        <v>204</v>
      </c>
      <c r="Q3" s="101">
        <v>229</v>
      </c>
      <c r="R3" s="101">
        <v>253</v>
      </c>
      <c r="S3" s="101">
        <v>271</v>
      </c>
      <c r="T3" s="101">
        <v>348</v>
      </c>
      <c r="U3" s="101">
        <v>384</v>
      </c>
    </row>
    <row r="4" spans="1:22" x14ac:dyDescent="0.2">
      <c r="A4" s="101">
        <v>950</v>
      </c>
      <c r="C4" s="101">
        <v>156</v>
      </c>
      <c r="D4" s="101">
        <v>189</v>
      </c>
      <c r="E4" s="101">
        <v>195</v>
      </c>
      <c r="F4" s="101">
        <v>238</v>
      </c>
      <c r="G4" s="101">
        <v>254</v>
      </c>
      <c r="H4" s="101">
        <v>279</v>
      </c>
      <c r="I4" s="101">
        <v>320</v>
      </c>
      <c r="J4" s="101">
        <v>720</v>
      </c>
      <c r="M4" s="101">
        <v>1100</v>
      </c>
      <c r="N4" s="101">
        <v>124</v>
      </c>
      <c r="O4" s="101">
        <v>174</v>
      </c>
      <c r="P4" s="101">
        <v>233</v>
      </c>
      <c r="Q4" s="101">
        <v>262</v>
      </c>
      <c r="R4" s="101">
        <v>290</v>
      </c>
      <c r="S4" s="101">
        <v>310</v>
      </c>
      <c r="T4" s="101">
        <v>398</v>
      </c>
      <c r="U4" s="101">
        <v>438</v>
      </c>
    </row>
    <row r="5" spans="1:22" x14ac:dyDescent="0.2">
      <c r="A5" s="101">
        <v>1050</v>
      </c>
      <c r="C5" s="101">
        <v>181</v>
      </c>
      <c r="D5" s="101">
        <v>220</v>
      </c>
      <c r="E5" s="101">
        <v>227</v>
      </c>
      <c r="F5" s="101">
        <v>278</v>
      </c>
      <c r="G5" s="101">
        <v>296</v>
      </c>
      <c r="H5" s="101">
        <v>326</v>
      </c>
      <c r="I5" s="101">
        <v>374</v>
      </c>
      <c r="J5" s="101">
        <v>820</v>
      </c>
      <c r="M5" s="101">
        <v>1200</v>
      </c>
      <c r="N5" s="101">
        <v>140</v>
      </c>
      <c r="O5" s="101">
        <v>196</v>
      </c>
      <c r="P5" s="101">
        <v>262</v>
      </c>
      <c r="Q5" s="101">
        <v>294</v>
      </c>
      <c r="R5" s="101">
        <v>326</v>
      </c>
      <c r="S5" s="101">
        <v>349</v>
      </c>
      <c r="T5" s="101">
        <v>447</v>
      </c>
      <c r="U5" s="101">
        <v>493</v>
      </c>
    </row>
    <row r="6" spans="1:22" x14ac:dyDescent="0.2">
      <c r="A6" s="101">
        <v>1150</v>
      </c>
      <c r="C6" s="101">
        <v>207</v>
      </c>
      <c r="D6" s="101">
        <v>252</v>
      </c>
      <c r="E6" s="101">
        <v>260</v>
      </c>
      <c r="F6" s="101">
        <v>318</v>
      </c>
      <c r="G6" s="101">
        <v>339</v>
      </c>
      <c r="H6" s="101">
        <v>372</v>
      </c>
      <c r="I6" s="101">
        <v>427</v>
      </c>
      <c r="J6" s="101">
        <v>920</v>
      </c>
      <c r="M6" s="101">
        <v>1300</v>
      </c>
      <c r="N6" s="101">
        <v>155</v>
      </c>
      <c r="O6" s="101">
        <v>218</v>
      </c>
      <c r="P6" s="101">
        <v>291</v>
      </c>
      <c r="Q6" s="101">
        <v>327</v>
      </c>
      <c r="R6" s="101">
        <v>362</v>
      </c>
      <c r="S6" s="101">
        <v>387</v>
      </c>
      <c r="T6" s="101">
        <v>497</v>
      </c>
      <c r="U6" s="101">
        <v>548</v>
      </c>
    </row>
    <row r="7" spans="1:22" x14ac:dyDescent="0.2">
      <c r="A7" s="101">
        <v>1250</v>
      </c>
      <c r="C7" s="101">
        <v>234</v>
      </c>
      <c r="D7" s="101">
        <v>283</v>
      </c>
      <c r="E7" s="101">
        <v>292</v>
      </c>
      <c r="F7" s="101">
        <v>357</v>
      </c>
      <c r="G7" s="101">
        <v>380</v>
      </c>
      <c r="H7" s="101">
        <v>419</v>
      </c>
      <c r="I7" s="101">
        <v>481</v>
      </c>
      <c r="J7" s="101">
        <v>1020</v>
      </c>
      <c r="M7" s="101">
        <v>1400</v>
      </c>
      <c r="N7" s="101">
        <v>171</v>
      </c>
      <c r="O7" s="101">
        <v>240</v>
      </c>
      <c r="P7" s="101">
        <v>320</v>
      </c>
      <c r="Q7" s="101">
        <v>360</v>
      </c>
      <c r="R7" s="101">
        <v>398</v>
      </c>
      <c r="S7" s="101">
        <v>426</v>
      </c>
      <c r="T7" s="101">
        <v>547</v>
      </c>
      <c r="U7" s="101">
        <v>603</v>
      </c>
    </row>
    <row r="8" spans="1:22" x14ac:dyDescent="0.2">
      <c r="A8" s="101">
        <v>1350</v>
      </c>
      <c r="C8" s="101">
        <v>259</v>
      </c>
      <c r="D8" s="101">
        <v>314</v>
      </c>
      <c r="E8" s="101">
        <v>324</v>
      </c>
      <c r="F8" s="101">
        <v>397</v>
      </c>
      <c r="G8" s="101">
        <v>423</v>
      </c>
      <c r="H8" s="101">
        <v>465</v>
      </c>
      <c r="I8" s="101">
        <v>534</v>
      </c>
      <c r="J8" s="101">
        <v>1120</v>
      </c>
      <c r="M8" s="101">
        <v>1500</v>
      </c>
      <c r="N8" s="101">
        <v>186</v>
      </c>
      <c r="O8" s="101">
        <v>262</v>
      </c>
      <c r="P8" s="101">
        <v>349</v>
      </c>
      <c r="Q8" s="101">
        <v>392</v>
      </c>
      <c r="R8" s="101">
        <v>434</v>
      </c>
      <c r="S8" s="101">
        <v>465</v>
      </c>
      <c r="T8" s="101">
        <v>596</v>
      </c>
      <c r="U8" s="101">
        <v>658</v>
      </c>
    </row>
    <row r="9" spans="1:22" x14ac:dyDescent="0.2">
      <c r="A9" s="101">
        <v>1550</v>
      </c>
      <c r="C9" s="101">
        <v>312</v>
      </c>
      <c r="D9" s="101">
        <v>377</v>
      </c>
      <c r="E9" s="101">
        <v>389</v>
      </c>
      <c r="F9" s="101">
        <v>476</v>
      </c>
      <c r="G9" s="101">
        <v>507</v>
      </c>
      <c r="H9" s="101">
        <v>558</v>
      </c>
      <c r="I9" s="101">
        <v>641</v>
      </c>
      <c r="J9" s="101">
        <v>1320</v>
      </c>
      <c r="M9" s="101">
        <v>1600</v>
      </c>
      <c r="N9" s="101">
        <v>202</v>
      </c>
      <c r="O9" s="101">
        <v>283</v>
      </c>
      <c r="P9" s="101">
        <v>378</v>
      </c>
      <c r="Q9" s="101">
        <v>425</v>
      </c>
      <c r="R9" s="101">
        <v>471</v>
      </c>
      <c r="S9" s="101">
        <v>504</v>
      </c>
      <c r="T9" s="101">
        <v>646</v>
      </c>
      <c r="U9" s="101">
        <v>712</v>
      </c>
    </row>
    <row r="10" spans="1:22" x14ac:dyDescent="0.2">
      <c r="A10" s="101">
        <v>1750</v>
      </c>
      <c r="C10" s="101">
        <v>363</v>
      </c>
      <c r="D10" s="101">
        <v>440</v>
      </c>
      <c r="E10" s="101">
        <v>454</v>
      </c>
      <c r="F10" s="101">
        <v>555</v>
      </c>
      <c r="G10" s="101">
        <v>592</v>
      </c>
      <c r="H10" s="101">
        <v>651</v>
      </c>
      <c r="I10" s="101">
        <v>748</v>
      </c>
      <c r="J10" s="101">
        <v>1520</v>
      </c>
      <c r="M10" s="101">
        <v>1700</v>
      </c>
      <c r="N10" s="101">
        <v>217</v>
      </c>
      <c r="O10" s="101">
        <v>305</v>
      </c>
      <c r="P10" s="101">
        <v>407</v>
      </c>
      <c r="Q10" s="101">
        <v>458</v>
      </c>
      <c r="R10" s="101">
        <v>507</v>
      </c>
      <c r="S10" s="101">
        <v>542</v>
      </c>
      <c r="T10" s="101">
        <v>696</v>
      </c>
      <c r="U10" s="101">
        <v>767</v>
      </c>
    </row>
    <row r="11" spans="1:22" x14ac:dyDescent="0.2">
      <c r="A11" s="101">
        <v>1950</v>
      </c>
      <c r="C11" s="101">
        <v>415</v>
      </c>
      <c r="D11" s="101">
        <v>504</v>
      </c>
      <c r="E11" s="101">
        <v>519</v>
      </c>
      <c r="F11" s="101">
        <v>635</v>
      </c>
      <c r="G11" s="101">
        <v>677</v>
      </c>
      <c r="H11" s="101">
        <v>744</v>
      </c>
      <c r="I11" s="101">
        <v>854</v>
      </c>
      <c r="J11" s="101">
        <v>1720</v>
      </c>
      <c r="M11" s="101">
        <v>1850</v>
      </c>
      <c r="N11" s="101">
        <v>240</v>
      </c>
      <c r="O11" s="101">
        <v>338</v>
      </c>
      <c r="P11" s="101">
        <v>451</v>
      </c>
      <c r="Q11" s="101">
        <v>507</v>
      </c>
      <c r="R11" s="101">
        <v>561</v>
      </c>
      <c r="S11" s="101">
        <v>600</v>
      </c>
      <c r="T11" s="101">
        <v>770</v>
      </c>
      <c r="U11" s="101">
        <v>849</v>
      </c>
    </row>
    <row r="12" spans="1:22" x14ac:dyDescent="0.2">
      <c r="A12" s="101">
        <v>2150</v>
      </c>
      <c r="C12" s="101">
        <v>466</v>
      </c>
      <c r="D12" s="101">
        <v>566</v>
      </c>
      <c r="E12" s="101">
        <v>584</v>
      </c>
      <c r="F12" s="101">
        <v>714</v>
      </c>
      <c r="G12" s="101">
        <v>761</v>
      </c>
      <c r="H12" s="101">
        <v>837</v>
      </c>
      <c r="I12" s="101">
        <v>961</v>
      </c>
      <c r="J12" s="101">
        <v>1920</v>
      </c>
      <c r="M12" s="101">
        <v>2000</v>
      </c>
      <c r="N12" s="101">
        <v>264</v>
      </c>
      <c r="O12" s="101">
        <v>371</v>
      </c>
      <c r="P12" s="101">
        <v>495</v>
      </c>
      <c r="Q12" s="101">
        <v>556</v>
      </c>
      <c r="R12" s="101">
        <v>615</v>
      </c>
      <c r="S12" s="101">
        <v>658</v>
      </c>
      <c r="T12" s="101">
        <v>845</v>
      </c>
      <c r="U12" s="101">
        <v>932</v>
      </c>
    </row>
    <row r="13" spans="1:22" x14ac:dyDescent="0.2">
      <c r="A13" s="101">
        <v>2350</v>
      </c>
      <c r="C13" s="101">
        <v>519</v>
      </c>
      <c r="D13" s="101">
        <v>629</v>
      </c>
      <c r="E13" s="101">
        <v>649</v>
      </c>
      <c r="F13" s="101">
        <v>794</v>
      </c>
      <c r="G13" s="101">
        <v>846</v>
      </c>
      <c r="H13" s="101">
        <v>930</v>
      </c>
      <c r="I13" s="101">
        <v>1068</v>
      </c>
      <c r="J13" s="101">
        <v>2120</v>
      </c>
      <c r="M13" s="101">
        <v>2150</v>
      </c>
      <c r="N13" s="101">
        <v>287</v>
      </c>
      <c r="O13" s="101">
        <v>403</v>
      </c>
      <c r="P13" s="101">
        <v>538</v>
      </c>
      <c r="Q13" s="101">
        <v>605</v>
      </c>
      <c r="R13" s="101">
        <v>670</v>
      </c>
      <c r="S13" s="101">
        <v>717</v>
      </c>
      <c r="T13" s="101">
        <v>919</v>
      </c>
      <c r="U13" s="101">
        <v>1014</v>
      </c>
    </row>
    <row r="14" spans="1:22" x14ac:dyDescent="0.2">
      <c r="A14" s="101">
        <v>2550</v>
      </c>
      <c r="C14" s="101">
        <v>571</v>
      </c>
      <c r="D14" s="101">
        <v>692</v>
      </c>
      <c r="E14" s="101">
        <v>713</v>
      </c>
      <c r="F14" s="101">
        <v>873</v>
      </c>
      <c r="G14" s="101">
        <v>930</v>
      </c>
      <c r="H14" s="101">
        <v>1023</v>
      </c>
      <c r="I14" s="101">
        <v>1175</v>
      </c>
      <c r="J14" s="101">
        <v>2320</v>
      </c>
      <c r="M14" s="101">
        <v>2300</v>
      </c>
      <c r="N14" s="101">
        <v>310</v>
      </c>
      <c r="O14" s="101">
        <v>436</v>
      </c>
      <c r="P14" s="101">
        <v>582</v>
      </c>
      <c r="Q14" s="101">
        <v>654</v>
      </c>
      <c r="R14" s="101">
        <v>724</v>
      </c>
      <c r="S14" s="101">
        <v>775</v>
      </c>
      <c r="T14" s="101">
        <v>994</v>
      </c>
      <c r="U14" s="101">
        <v>1096</v>
      </c>
    </row>
    <row r="15" spans="1:22" x14ac:dyDescent="0.2">
      <c r="A15" s="101">
        <v>2750</v>
      </c>
      <c r="C15" s="101">
        <v>622</v>
      </c>
      <c r="D15" s="101">
        <v>754</v>
      </c>
      <c r="E15" s="101">
        <v>778</v>
      </c>
      <c r="F15" s="101">
        <v>952</v>
      </c>
      <c r="G15" s="101">
        <v>1015</v>
      </c>
      <c r="H15" s="101">
        <v>1116</v>
      </c>
      <c r="I15" s="101">
        <v>1282</v>
      </c>
      <c r="J15" s="101">
        <v>2520</v>
      </c>
      <c r="M15" s="101">
        <v>2450</v>
      </c>
      <c r="N15" s="101">
        <v>333</v>
      </c>
      <c r="O15" s="101">
        <v>469</v>
      </c>
      <c r="P15" s="101">
        <v>626</v>
      </c>
      <c r="Q15" s="101">
        <v>703</v>
      </c>
      <c r="R15" s="101">
        <v>778</v>
      </c>
      <c r="S15" s="101">
        <v>833</v>
      </c>
      <c r="T15" s="101">
        <v>1069</v>
      </c>
      <c r="U15" s="101">
        <v>1178</v>
      </c>
    </row>
    <row r="16" spans="1:22" x14ac:dyDescent="0.2">
      <c r="A16" s="101">
        <v>2950</v>
      </c>
      <c r="C16" s="101">
        <v>675</v>
      </c>
      <c r="D16" s="101">
        <v>818</v>
      </c>
      <c r="E16" s="101">
        <v>844</v>
      </c>
      <c r="F16" s="101">
        <v>1032</v>
      </c>
      <c r="G16" s="101">
        <v>1100</v>
      </c>
      <c r="H16" s="101">
        <v>1209</v>
      </c>
      <c r="I16" s="101">
        <v>1388</v>
      </c>
      <c r="J16" s="101">
        <v>2720</v>
      </c>
      <c r="M16" s="101">
        <v>2600</v>
      </c>
      <c r="N16" s="101">
        <v>357</v>
      </c>
      <c r="O16" s="101">
        <v>501</v>
      </c>
      <c r="P16" s="101">
        <v>669</v>
      </c>
      <c r="Q16" s="101">
        <v>752</v>
      </c>
      <c r="R16" s="101">
        <v>833</v>
      </c>
      <c r="S16" s="101">
        <v>891</v>
      </c>
      <c r="T16" s="101">
        <v>1143</v>
      </c>
      <c r="U16" s="101">
        <v>1260</v>
      </c>
    </row>
    <row r="17" spans="1:21" x14ac:dyDescent="0.2">
      <c r="A17" s="101">
        <v>3150</v>
      </c>
      <c r="C17" s="101">
        <v>726</v>
      </c>
      <c r="D17" s="101">
        <v>871</v>
      </c>
      <c r="E17" s="101">
        <v>899</v>
      </c>
      <c r="F17" s="101">
        <v>1111</v>
      </c>
      <c r="G17" s="101">
        <v>1184</v>
      </c>
      <c r="H17" s="101">
        <v>1302</v>
      </c>
      <c r="I17" s="101">
        <v>1495</v>
      </c>
      <c r="J17" s="101">
        <v>2920</v>
      </c>
      <c r="M17" s="101">
        <v>2750</v>
      </c>
      <c r="N17" s="101">
        <v>380</v>
      </c>
      <c r="O17" s="101">
        <v>534</v>
      </c>
      <c r="P17" s="101">
        <v>713</v>
      </c>
      <c r="Q17" s="101">
        <v>801</v>
      </c>
      <c r="R17" s="101">
        <v>887</v>
      </c>
      <c r="S17" s="101">
        <v>949</v>
      </c>
      <c r="T17" s="101">
        <v>1218</v>
      </c>
      <c r="U17" s="101">
        <v>1343</v>
      </c>
    </row>
    <row r="18" spans="1:21" x14ac:dyDescent="0.2">
      <c r="A18" s="101">
        <v>3350</v>
      </c>
      <c r="C18" s="101">
        <v>778</v>
      </c>
      <c r="D18" s="101">
        <v>943</v>
      </c>
      <c r="E18" s="101">
        <v>973</v>
      </c>
      <c r="F18" s="101">
        <v>1190</v>
      </c>
      <c r="G18" s="101">
        <v>1269</v>
      </c>
      <c r="H18" s="101">
        <v>1395</v>
      </c>
      <c r="I18" s="101">
        <v>1601</v>
      </c>
      <c r="J18" s="101">
        <v>3120</v>
      </c>
      <c r="M18" s="101">
        <v>2900</v>
      </c>
      <c r="N18" s="101">
        <v>403</v>
      </c>
      <c r="O18" s="101">
        <v>567</v>
      </c>
      <c r="P18" s="101">
        <v>757</v>
      </c>
      <c r="Q18" s="101">
        <v>850</v>
      </c>
      <c r="R18" s="101">
        <v>941</v>
      </c>
      <c r="S18" s="101">
        <v>1007</v>
      </c>
      <c r="T18" s="101">
        <v>1292</v>
      </c>
      <c r="U18" s="101">
        <v>1425</v>
      </c>
    </row>
    <row r="19" spans="1:21" x14ac:dyDescent="0.2">
      <c r="A19" s="101">
        <v>3550</v>
      </c>
      <c r="C19" s="101">
        <v>830</v>
      </c>
      <c r="D19" s="101">
        <v>1006</v>
      </c>
      <c r="E19" s="101">
        <v>1038</v>
      </c>
      <c r="F19" s="101">
        <v>1269</v>
      </c>
      <c r="G19" s="101">
        <v>1353</v>
      </c>
      <c r="H19" s="101">
        <v>1488</v>
      </c>
      <c r="I19" s="101">
        <v>1708</v>
      </c>
      <c r="J19" s="101">
        <v>3320</v>
      </c>
      <c r="M19" s="101">
        <v>3050</v>
      </c>
      <c r="N19" s="101">
        <v>426</v>
      </c>
      <c r="O19" s="101">
        <v>600</v>
      </c>
      <c r="P19" s="101">
        <v>800</v>
      </c>
      <c r="Q19" s="101">
        <v>899</v>
      </c>
      <c r="R19" s="101">
        <v>996</v>
      </c>
      <c r="S19" s="101">
        <v>1065</v>
      </c>
      <c r="T19" s="101">
        <v>1367</v>
      </c>
      <c r="U19" s="101">
        <v>1507</v>
      </c>
    </row>
    <row r="20" spans="1:21" x14ac:dyDescent="0.2">
      <c r="A20" s="101">
        <v>3750</v>
      </c>
      <c r="C20" s="101">
        <v>882</v>
      </c>
      <c r="D20" s="101">
        <v>1069</v>
      </c>
      <c r="E20" s="101">
        <v>1103</v>
      </c>
      <c r="F20" s="101">
        <v>1349</v>
      </c>
      <c r="G20" s="101">
        <v>1438</v>
      </c>
      <c r="H20" s="101">
        <v>1581</v>
      </c>
      <c r="I20" s="101">
        <v>1815</v>
      </c>
      <c r="J20" s="101">
        <v>3520</v>
      </c>
      <c r="M20" s="101">
        <v>3200</v>
      </c>
      <c r="N20" s="101">
        <v>450</v>
      </c>
      <c r="O20" s="101">
        <v>632</v>
      </c>
      <c r="P20" s="101">
        <v>844</v>
      </c>
      <c r="Q20" s="101">
        <v>948</v>
      </c>
      <c r="R20" s="101">
        <v>1050</v>
      </c>
      <c r="S20" s="101">
        <v>1123</v>
      </c>
      <c r="T20" s="101">
        <v>1441</v>
      </c>
      <c r="U20" s="101">
        <v>1589</v>
      </c>
    </row>
    <row r="21" spans="1:21" x14ac:dyDescent="0.2">
      <c r="A21" s="101">
        <v>3950</v>
      </c>
      <c r="C21" s="101">
        <v>934</v>
      </c>
      <c r="D21" s="101">
        <v>1132</v>
      </c>
      <c r="E21" s="101">
        <v>1168</v>
      </c>
      <c r="F21" s="101">
        <v>1429</v>
      </c>
      <c r="G21" s="101">
        <v>1523</v>
      </c>
      <c r="H21" s="101">
        <v>1673</v>
      </c>
      <c r="I21" s="101">
        <v>1921</v>
      </c>
      <c r="J21" s="101">
        <v>3720</v>
      </c>
      <c r="M21" s="101">
        <v>3350</v>
      </c>
      <c r="N21" s="101">
        <v>473</v>
      </c>
      <c r="O21" s="101">
        <v>665</v>
      </c>
      <c r="P21" s="101">
        <v>888</v>
      </c>
      <c r="Q21" s="101">
        <v>997</v>
      </c>
      <c r="R21" s="101">
        <v>1104</v>
      </c>
      <c r="S21" s="101">
        <v>1181</v>
      </c>
      <c r="T21" s="101">
        <v>1516</v>
      </c>
      <c r="U21" s="101">
        <v>1671</v>
      </c>
    </row>
    <row r="22" spans="1:21" x14ac:dyDescent="0.2">
      <c r="M22" s="101">
        <v>3500</v>
      </c>
      <c r="N22" s="101">
        <v>496</v>
      </c>
      <c r="O22" s="101">
        <v>698</v>
      </c>
      <c r="P22" s="101">
        <v>931</v>
      </c>
      <c r="Q22" s="101">
        <v>1046</v>
      </c>
      <c r="R22" s="101">
        <v>1158</v>
      </c>
      <c r="S22" s="101">
        <v>1239</v>
      </c>
      <c r="T22" s="101">
        <v>1590</v>
      </c>
      <c r="U22" s="101">
        <v>1754</v>
      </c>
    </row>
    <row r="23" spans="1:21" x14ac:dyDescent="0.2">
      <c r="M23" s="101">
        <v>3650</v>
      </c>
      <c r="N23" s="101">
        <v>519</v>
      </c>
      <c r="O23" s="101">
        <v>730</v>
      </c>
      <c r="P23" s="101">
        <v>975</v>
      </c>
      <c r="Q23" s="101">
        <v>1095</v>
      </c>
      <c r="R23" s="101">
        <v>1213</v>
      </c>
      <c r="S23" s="101">
        <v>1298</v>
      </c>
      <c r="T23" s="101">
        <v>1665</v>
      </c>
      <c r="U23" s="101">
        <v>1836</v>
      </c>
    </row>
    <row r="24" spans="1:21" x14ac:dyDescent="0.2">
      <c r="M24" s="101">
        <v>3800</v>
      </c>
      <c r="N24" s="101">
        <v>543</v>
      </c>
      <c r="O24" s="101">
        <v>763</v>
      </c>
      <c r="P24" s="101">
        <v>1019</v>
      </c>
      <c r="Q24" s="101">
        <v>1145</v>
      </c>
      <c r="R24" s="101">
        <v>1267</v>
      </c>
      <c r="S24" s="101">
        <v>1356</v>
      </c>
      <c r="T24" s="101">
        <v>1740</v>
      </c>
      <c r="U24" s="101">
        <v>1918</v>
      </c>
    </row>
    <row r="25" spans="1:21" x14ac:dyDescent="0.2">
      <c r="M25" s="101">
        <v>3950</v>
      </c>
      <c r="N25" s="101">
        <v>566</v>
      </c>
      <c r="O25" s="101">
        <v>796</v>
      </c>
      <c r="P25" s="101">
        <v>1062</v>
      </c>
      <c r="Q25" s="101">
        <v>1194</v>
      </c>
      <c r="R25" s="101">
        <v>1321</v>
      </c>
      <c r="S25" s="101">
        <v>1414</v>
      </c>
      <c r="T25" s="101">
        <v>1814</v>
      </c>
      <c r="U25" s="101">
        <v>2000</v>
      </c>
    </row>
    <row r="26" spans="1:21" x14ac:dyDescent="0.2">
      <c r="M26" s="101">
        <v>4100</v>
      </c>
      <c r="N26" s="101">
        <v>589</v>
      </c>
      <c r="O26" s="101">
        <v>828</v>
      </c>
      <c r="P26" s="101">
        <v>1106</v>
      </c>
      <c r="Q26" s="101">
        <v>1243</v>
      </c>
      <c r="R26" s="101">
        <v>1376</v>
      </c>
      <c r="S26" s="101">
        <v>1472</v>
      </c>
      <c r="T26" s="101">
        <v>1889</v>
      </c>
      <c r="U26" s="101">
        <v>2082</v>
      </c>
    </row>
    <row r="27" spans="1:21" x14ac:dyDescent="0.2">
      <c r="M27" s="101">
        <v>4250</v>
      </c>
      <c r="N27" s="101">
        <v>612</v>
      </c>
      <c r="O27" s="101">
        <v>861</v>
      </c>
      <c r="P27" s="101">
        <v>1149</v>
      </c>
      <c r="Q27" s="101">
        <v>1292</v>
      </c>
      <c r="R27" s="101">
        <v>1430</v>
      </c>
      <c r="S27" s="101">
        <v>1530</v>
      </c>
      <c r="T27" s="101">
        <v>1963</v>
      </c>
      <c r="U27" s="101">
        <v>2165</v>
      </c>
    </row>
    <row r="28" spans="1:21" x14ac:dyDescent="0.2">
      <c r="M28" s="101">
        <v>4400</v>
      </c>
      <c r="N28" s="101">
        <v>636</v>
      </c>
      <c r="O28" s="101">
        <v>894</v>
      </c>
      <c r="P28" s="101">
        <v>1193</v>
      </c>
      <c r="Q28" s="101">
        <v>1341</v>
      </c>
      <c r="R28" s="101">
        <v>1484</v>
      </c>
      <c r="S28" s="101">
        <v>1588</v>
      </c>
      <c r="T28" s="101">
        <v>2038</v>
      </c>
      <c r="U28" s="101">
        <v>2247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F4DCB-FC0C-47F7-9D74-B3188456D6DB}">
  <dimension ref="A1:C97"/>
  <sheetViews>
    <sheetView topLeftCell="A22" workbookViewId="0">
      <selection activeCell="A46" sqref="A46"/>
    </sheetView>
  </sheetViews>
  <sheetFormatPr baseColWidth="10" defaultRowHeight="12.75" x14ac:dyDescent="0.2"/>
  <cols>
    <col min="1" max="1" width="11.42578125" style="101"/>
    <col min="2" max="2" width="14.28515625" style="101" customWidth="1"/>
    <col min="3" max="3" width="16" style="101" customWidth="1"/>
    <col min="4" max="16384" width="11.42578125" style="101"/>
  </cols>
  <sheetData>
    <row r="1" spans="1:3" x14ac:dyDescent="0.2">
      <c r="B1" s="101" t="s">
        <v>939</v>
      </c>
      <c r="C1" s="101" t="s">
        <v>940</v>
      </c>
    </row>
    <row r="2" spans="1:3" x14ac:dyDescent="0.2">
      <c r="A2" s="101">
        <v>1</v>
      </c>
      <c r="B2" s="102" t="s">
        <v>1201</v>
      </c>
      <c r="C2" s="102" t="s">
        <v>1008</v>
      </c>
    </row>
    <row r="3" spans="1:3" x14ac:dyDescent="0.2">
      <c r="A3" s="101">
        <v>2</v>
      </c>
      <c r="B3" s="102" t="s">
        <v>943</v>
      </c>
      <c r="C3" s="102" t="s">
        <v>1021</v>
      </c>
    </row>
    <row r="4" spans="1:3" x14ac:dyDescent="0.2">
      <c r="A4" s="101">
        <v>3</v>
      </c>
      <c r="B4" s="101" t="s">
        <v>1202</v>
      </c>
      <c r="C4" s="101" t="s">
        <v>1203</v>
      </c>
    </row>
    <row r="5" spans="1:3" x14ac:dyDescent="0.2">
      <c r="A5" s="101">
        <v>4</v>
      </c>
      <c r="B5" s="101" t="s">
        <v>1204</v>
      </c>
      <c r="C5" s="101" t="s">
        <v>1205</v>
      </c>
    </row>
    <row r="6" spans="1:3" x14ac:dyDescent="0.2">
      <c r="A6" s="101">
        <v>5</v>
      </c>
      <c r="B6" s="101" t="s">
        <v>1206</v>
      </c>
      <c r="C6" s="101" t="s">
        <v>1207</v>
      </c>
    </row>
    <row r="7" spans="1:3" x14ac:dyDescent="0.2">
      <c r="A7" s="101">
        <v>6</v>
      </c>
      <c r="B7" s="101" t="s">
        <v>1208</v>
      </c>
      <c r="C7" s="101" t="s">
        <v>1209</v>
      </c>
    </row>
    <row r="8" spans="1:3" x14ac:dyDescent="0.2">
      <c r="A8" s="101">
        <v>7</v>
      </c>
      <c r="B8" s="101" t="s">
        <v>1210</v>
      </c>
      <c r="C8" s="101" t="s">
        <v>1211</v>
      </c>
    </row>
    <row r="9" spans="1:3" x14ac:dyDescent="0.2">
      <c r="A9" s="101">
        <v>8</v>
      </c>
      <c r="B9" s="102" t="s">
        <v>1212</v>
      </c>
      <c r="C9" s="102" t="s">
        <v>1213</v>
      </c>
    </row>
    <row r="10" spans="1:3" x14ac:dyDescent="0.2">
      <c r="A10" s="101">
        <v>9</v>
      </c>
      <c r="B10" s="102" t="s">
        <v>941</v>
      </c>
      <c r="C10" s="102" t="s">
        <v>951</v>
      </c>
    </row>
    <row r="11" spans="1:3" x14ac:dyDescent="0.2">
      <c r="A11" s="101">
        <v>10</v>
      </c>
      <c r="B11" s="102" t="s">
        <v>1214</v>
      </c>
      <c r="C11" s="102" t="s">
        <v>1215</v>
      </c>
    </row>
    <row r="12" spans="1:3" x14ac:dyDescent="0.2">
      <c r="A12" s="101">
        <v>11</v>
      </c>
      <c r="B12" s="102" t="s">
        <v>949</v>
      </c>
      <c r="C12" s="102" t="s">
        <v>953</v>
      </c>
    </row>
    <row r="13" spans="1:3" x14ac:dyDescent="0.2">
      <c r="A13" s="101">
        <v>12</v>
      </c>
      <c r="B13" s="102" t="s">
        <v>1216</v>
      </c>
      <c r="C13" s="102" t="s">
        <v>1217</v>
      </c>
    </row>
    <row r="14" spans="1:3" x14ac:dyDescent="0.2">
      <c r="A14" s="101">
        <v>13</v>
      </c>
      <c r="B14" s="102" t="s">
        <v>1218</v>
      </c>
      <c r="C14" s="102" t="s">
        <v>1219</v>
      </c>
    </row>
    <row r="15" spans="1:3" x14ac:dyDescent="0.2">
      <c r="A15" s="101">
        <v>14</v>
      </c>
      <c r="B15" s="102" t="s">
        <v>948</v>
      </c>
      <c r="C15" s="102" t="s">
        <v>1220</v>
      </c>
    </row>
    <row r="16" spans="1:3" x14ac:dyDescent="0.2">
      <c r="A16" s="101">
        <v>15</v>
      </c>
      <c r="B16" s="102" t="s">
        <v>1118</v>
      </c>
      <c r="C16" s="102" t="s">
        <v>1119</v>
      </c>
    </row>
    <row r="17" spans="1:3" x14ac:dyDescent="0.2">
      <c r="A17" s="101">
        <v>16</v>
      </c>
      <c r="B17" s="102" t="s">
        <v>1221</v>
      </c>
      <c r="C17" s="102" t="s">
        <v>1222</v>
      </c>
    </row>
    <row r="18" spans="1:3" x14ac:dyDescent="0.2">
      <c r="A18" s="101">
        <v>17</v>
      </c>
      <c r="B18" s="102" t="s">
        <v>1223</v>
      </c>
      <c r="C18" s="101" t="s">
        <v>1224</v>
      </c>
    </row>
    <row r="19" spans="1:3" x14ac:dyDescent="0.2">
      <c r="A19" s="101">
        <v>18</v>
      </c>
      <c r="B19" s="102" t="s">
        <v>1225</v>
      </c>
      <c r="C19" s="101" t="s">
        <v>1226</v>
      </c>
    </row>
    <row r="20" spans="1:3" x14ac:dyDescent="0.2">
      <c r="A20" s="101">
        <v>19</v>
      </c>
      <c r="B20" s="102" t="s">
        <v>1227</v>
      </c>
      <c r="C20" s="102" t="s">
        <v>1228</v>
      </c>
    </row>
    <row r="21" spans="1:3" x14ac:dyDescent="0.2">
      <c r="A21" s="101">
        <v>20</v>
      </c>
      <c r="B21" s="102" t="s">
        <v>1229</v>
      </c>
      <c r="C21" s="102" t="s">
        <v>1230</v>
      </c>
    </row>
    <row r="22" spans="1:3" x14ac:dyDescent="0.2">
      <c r="A22" s="101">
        <v>21</v>
      </c>
      <c r="B22" s="102" t="s">
        <v>1231</v>
      </c>
      <c r="C22" s="102" t="s">
        <v>1232</v>
      </c>
    </row>
    <row r="23" spans="1:3" x14ac:dyDescent="0.2">
      <c r="A23" s="101">
        <v>22</v>
      </c>
      <c r="B23" s="102" t="s">
        <v>1233</v>
      </c>
      <c r="C23" s="102" t="s">
        <v>1234</v>
      </c>
    </row>
    <row r="24" spans="1:3" x14ac:dyDescent="0.2">
      <c r="A24" s="101">
        <v>23</v>
      </c>
      <c r="B24" s="102" t="s">
        <v>1235</v>
      </c>
      <c r="C24" s="102" t="s">
        <v>1236</v>
      </c>
    </row>
    <row r="25" spans="1:3" x14ac:dyDescent="0.2">
      <c r="A25" s="101">
        <v>24</v>
      </c>
      <c r="B25" s="102" t="s">
        <v>1237</v>
      </c>
      <c r="C25" s="102" t="s">
        <v>1238</v>
      </c>
    </row>
    <row r="26" spans="1:3" x14ac:dyDescent="0.2">
      <c r="A26" s="101">
        <v>25</v>
      </c>
      <c r="B26" s="102" t="s">
        <v>1239</v>
      </c>
      <c r="C26" s="102" t="s">
        <v>1240</v>
      </c>
    </row>
    <row r="27" spans="1:3" x14ac:dyDescent="0.2">
      <c r="A27" s="101">
        <v>26</v>
      </c>
      <c r="B27" s="102" t="s">
        <v>1241</v>
      </c>
      <c r="C27" s="102" t="s">
        <v>1242</v>
      </c>
    </row>
    <row r="28" spans="1:3" ht="15.75" x14ac:dyDescent="0.35">
      <c r="A28" s="101">
        <v>27</v>
      </c>
      <c r="B28" s="102" t="s">
        <v>1243</v>
      </c>
      <c r="C28" s="102" t="s">
        <v>1244</v>
      </c>
    </row>
    <row r="29" spans="1:3" x14ac:dyDescent="0.2">
      <c r="A29" s="101">
        <v>28</v>
      </c>
      <c r="B29" s="102" t="s">
        <v>1245</v>
      </c>
      <c r="C29" s="102" t="s">
        <v>1246</v>
      </c>
    </row>
    <row r="30" spans="1:3" x14ac:dyDescent="0.2">
      <c r="A30" s="101">
        <v>29</v>
      </c>
      <c r="B30" s="102" t="s">
        <v>1116</v>
      </c>
      <c r="C30" s="101" t="s">
        <v>1117</v>
      </c>
    </row>
    <row r="31" spans="1:3" x14ac:dyDescent="0.2">
      <c r="A31" s="101">
        <v>30</v>
      </c>
      <c r="B31" s="102" t="s">
        <v>1247</v>
      </c>
      <c r="C31" s="102" t="s">
        <v>1248</v>
      </c>
    </row>
    <row r="32" spans="1:3" x14ac:dyDescent="0.2">
      <c r="A32" s="101">
        <v>31</v>
      </c>
      <c r="B32" s="101" t="s">
        <v>979</v>
      </c>
      <c r="C32" s="102" t="s">
        <v>980</v>
      </c>
    </row>
    <row r="33" spans="1:3" x14ac:dyDescent="0.2">
      <c r="A33" s="101">
        <v>32</v>
      </c>
      <c r="B33" s="101" t="s">
        <v>981</v>
      </c>
      <c r="C33" s="126" t="s">
        <v>982</v>
      </c>
    </row>
    <row r="34" spans="1:3" x14ac:dyDescent="0.2">
      <c r="A34" s="101">
        <v>33</v>
      </c>
      <c r="B34" s="101" t="s">
        <v>983</v>
      </c>
      <c r="C34" s="102" t="s">
        <v>984</v>
      </c>
    </row>
    <row r="35" spans="1:3" x14ac:dyDescent="0.2">
      <c r="A35" s="101">
        <v>34</v>
      </c>
      <c r="B35" s="102" t="s">
        <v>1249</v>
      </c>
      <c r="C35" s="102" t="s">
        <v>1250</v>
      </c>
    </row>
    <row r="36" spans="1:3" x14ac:dyDescent="0.2">
      <c r="A36" s="101">
        <v>35</v>
      </c>
      <c r="B36" s="102" t="s">
        <v>1251</v>
      </c>
      <c r="C36" s="102" t="s">
        <v>1252</v>
      </c>
    </row>
    <row r="37" spans="1:3" x14ac:dyDescent="0.2">
      <c r="A37" s="101">
        <v>36</v>
      </c>
      <c r="B37" s="102" t="s">
        <v>1253</v>
      </c>
      <c r="C37" s="102" t="s">
        <v>1119</v>
      </c>
    </row>
    <row r="38" spans="1:3" x14ac:dyDescent="0.2">
      <c r="A38" s="101">
        <v>37</v>
      </c>
      <c r="B38" s="102" t="s">
        <v>1254</v>
      </c>
      <c r="C38" s="102" t="s">
        <v>1255</v>
      </c>
    </row>
    <row r="39" spans="1:3" x14ac:dyDescent="0.2">
      <c r="A39" s="101">
        <v>38</v>
      </c>
      <c r="B39" s="102" t="s">
        <v>1256</v>
      </c>
      <c r="C39" s="102" t="s">
        <v>1257</v>
      </c>
    </row>
    <row r="40" spans="1:3" x14ac:dyDescent="0.2">
      <c r="A40" s="101">
        <v>39</v>
      </c>
      <c r="B40" s="102" t="s">
        <v>985</v>
      </c>
      <c r="C40" s="102" t="s">
        <v>986</v>
      </c>
    </row>
    <row r="41" spans="1:3" x14ac:dyDescent="0.2">
      <c r="A41" s="101">
        <v>40</v>
      </c>
      <c r="B41" s="102" t="s">
        <v>1258</v>
      </c>
      <c r="C41" s="102" t="s">
        <v>987</v>
      </c>
    </row>
    <row r="42" spans="1:3" x14ac:dyDescent="0.2">
      <c r="A42" s="101">
        <v>41</v>
      </c>
      <c r="B42" s="102" t="s">
        <v>1259</v>
      </c>
      <c r="C42" s="102" t="s">
        <v>1260</v>
      </c>
    </row>
    <row r="43" spans="1:3" x14ac:dyDescent="0.2">
      <c r="A43" s="101">
        <v>42</v>
      </c>
      <c r="B43" s="102" t="s">
        <v>1261</v>
      </c>
      <c r="C43" s="102" t="s">
        <v>1262</v>
      </c>
    </row>
    <row r="44" spans="1:3" x14ac:dyDescent="0.2">
      <c r="A44" s="101">
        <v>43</v>
      </c>
      <c r="B44" s="102" t="s">
        <v>1263</v>
      </c>
      <c r="C44" s="102" t="s">
        <v>1264</v>
      </c>
    </row>
    <row r="45" spans="1:3" x14ac:dyDescent="0.2">
      <c r="A45" s="101">
        <v>44</v>
      </c>
      <c r="B45" s="102" t="s">
        <v>1265</v>
      </c>
      <c r="C45" s="102" t="s">
        <v>1266</v>
      </c>
    </row>
    <row r="46" spans="1:3" x14ac:dyDescent="0.2">
      <c r="A46" s="101">
        <v>45</v>
      </c>
      <c r="B46" s="102" t="s">
        <v>1567</v>
      </c>
      <c r="C46" s="102" t="s">
        <v>1568</v>
      </c>
    </row>
    <row r="47" spans="1:3" x14ac:dyDescent="0.2">
      <c r="A47" s="101">
        <v>46</v>
      </c>
      <c r="B47" s="102" t="s">
        <v>1267</v>
      </c>
      <c r="C47" s="102" t="s">
        <v>1268</v>
      </c>
    </row>
    <row r="48" spans="1:3" x14ac:dyDescent="0.2">
      <c r="A48" s="101">
        <v>47</v>
      </c>
      <c r="B48" s="102" t="s">
        <v>1269</v>
      </c>
      <c r="C48" s="102" t="s">
        <v>1270</v>
      </c>
    </row>
    <row r="49" spans="1:3" x14ac:dyDescent="0.2">
      <c r="A49" s="101">
        <v>48</v>
      </c>
      <c r="B49" s="102" t="s">
        <v>1271</v>
      </c>
      <c r="C49" s="102" t="s">
        <v>1272</v>
      </c>
    </row>
    <row r="50" spans="1:3" x14ac:dyDescent="0.2">
      <c r="A50" s="101">
        <v>49</v>
      </c>
      <c r="B50" s="102" t="s">
        <v>1273</v>
      </c>
      <c r="C50" s="102" t="s">
        <v>1274</v>
      </c>
    </row>
    <row r="51" spans="1:3" x14ac:dyDescent="0.2">
      <c r="A51" s="101">
        <v>50</v>
      </c>
      <c r="B51" s="102" t="s">
        <v>1275</v>
      </c>
      <c r="C51" s="102" t="s">
        <v>1276</v>
      </c>
    </row>
    <row r="52" spans="1:3" x14ac:dyDescent="0.2">
      <c r="A52" s="101">
        <v>51</v>
      </c>
      <c r="B52" s="101" t="s">
        <v>1277</v>
      </c>
      <c r="C52" s="101" t="s">
        <v>1278</v>
      </c>
    </row>
    <row r="53" spans="1:3" x14ac:dyDescent="0.2">
      <c r="A53" s="101">
        <v>52</v>
      </c>
      <c r="B53" s="101" t="s">
        <v>1279</v>
      </c>
      <c r="C53" s="101" t="s">
        <v>1280</v>
      </c>
    </row>
    <row r="54" spans="1:3" x14ac:dyDescent="0.2">
      <c r="A54" s="101">
        <v>53</v>
      </c>
      <c r="B54" s="101" t="s">
        <v>1281</v>
      </c>
      <c r="C54" s="101" t="s">
        <v>1282</v>
      </c>
    </row>
    <row r="55" spans="1:3" ht="15" x14ac:dyDescent="0.25">
      <c r="A55" s="101">
        <v>54</v>
      </c>
      <c r="B55" s="127" t="s">
        <v>1283</v>
      </c>
      <c r="C55" s="127" t="s">
        <v>1284</v>
      </c>
    </row>
    <row r="56" spans="1:3" ht="15" x14ac:dyDescent="0.25">
      <c r="A56" s="101">
        <v>55</v>
      </c>
      <c r="B56" s="127" t="s">
        <v>1285</v>
      </c>
      <c r="C56" s="127" t="s">
        <v>1286</v>
      </c>
    </row>
    <row r="57" spans="1:3" ht="15" x14ac:dyDescent="0.25">
      <c r="A57" s="101">
        <v>56</v>
      </c>
      <c r="B57" s="127" t="s">
        <v>1287</v>
      </c>
      <c r="C57" s="127" t="s">
        <v>1288</v>
      </c>
    </row>
    <row r="58" spans="1:3" x14ac:dyDescent="0.2">
      <c r="A58" s="101">
        <v>57</v>
      </c>
      <c r="B58" s="101" t="s">
        <v>1289</v>
      </c>
      <c r="C58" s="101" t="s">
        <v>1290</v>
      </c>
    </row>
    <row r="59" spans="1:3" x14ac:dyDescent="0.2">
      <c r="A59" s="101">
        <v>58</v>
      </c>
      <c r="B59" s="101" t="s">
        <v>1291</v>
      </c>
      <c r="C59" s="101" t="s">
        <v>1292</v>
      </c>
    </row>
    <row r="60" spans="1:3" ht="15" x14ac:dyDescent="0.25">
      <c r="A60" s="101">
        <v>59</v>
      </c>
      <c r="B60" s="127" t="s">
        <v>1293</v>
      </c>
      <c r="C60" s="127" t="s">
        <v>1294</v>
      </c>
    </row>
    <row r="61" spans="1:3" ht="15" x14ac:dyDescent="0.25">
      <c r="A61" s="101">
        <v>60</v>
      </c>
      <c r="B61" s="127" t="s">
        <v>968</v>
      </c>
      <c r="C61" s="127" t="s">
        <v>969</v>
      </c>
    </row>
    <row r="62" spans="1:3" x14ac:dyDescent="0.2">
      <c r="A62" s="101">
        <v>61</v>
      </c>
      <c r="B62" s="102" t="s">
        <v>1295</v>
      </c>
      <c r="C62" s="102" t="s">
        <v>1296</v>
      </c>
    </row>
    <row r="63" spans="1:3" x14ac:dyDescent="0.2">
      <c r="A63" s="101">
        <v>62</v>
      </c>
      <c r="B63" s="102" t="s">
        <v>1297</v>
      </c>
      <c r="C63" s="102" t="s">
        <v>1298</v>
      </c>
    </row>
    <row r="64" spans="1:3" x14ac:dyDescent="0.2">
      <c r="A64" s="101">
        <v>63</v>
      </c>
      <c r="B64" s="102" t="s">
        <v>1299</v>
      </c>
      <c r="C64" s="102" t="s">
        <v>1300</v>
      </c>
    </row>
    <row r="65" spans="1:3" x14ac:dyDescent="0.2">
      <c r="A65" s="101">
        <v>64</v>
      </c>
      <c r="B65" s="102" t="s">
        <v>1301</v>
      </c>
      <c r="C65" s="102" t="s">
        <v>1302</v>
      </c>
    </row>
    <row r="66" spans="1:3" x14ac:dyDescent="0.2">
      <c r="A66" s="101">
        <v>65</v>
      </c>
      <c r="B66" s="102" t="s">
        <v>1303</v>
      </c>
      <c r="C66" s="102" t="s">
        <v>1304</v>
      </c>
    </row>
    <row r="67" spans="1:3" x14ac:dyDescent="0.2">
      <c r="A67" s="101">
        <v>66</v>
      </c>
      <c r="B67" s="102" t="s">
        <v>1305</v>
      </c>
      <c r="C67" s="102" t="s">
        <v>1306</v>
      </c>
    </row>
    <row r="68" spans="1:3" x14ac:dyDescent="0.2">
      <c r="A68" s="101">
        <v>67</v>
      </c>
      <c r="B68" s="102" t="s">
        <v>1307</v>
      </c>
      <c r="C68" s="102" t="s">
        <v>1308</v>
      </c>
    </row>
    <row r="69" spans="1:3" x14ac:dyDescent="0.2">
      <c r="A69" s="101">
        <v>68</v>
      </c>
      <c r="B69" s="102" t="s">
        <v>949</v>
      </c>
      <c r="C69" s="102" t="s">
        <v>953</v>
      </c>
    </row>
    <row r="70" spans="1:3" x14ac:dyDescent="0.2">
      <c r="A70" s="101">
        <v>69</v>
      </c>
      <c r="B70" s="102" t="s">
        <v>1309</v>
      </c>
      <c r="C70" s="102" t="s">
        <v>1310</v>
      </c>
    </row>
    <row r="71" spans="1:3" x14ac:dyDescent="0.2">
      <c r="A71" s="101">
        <v>70</v>
      </c>
      <c r="B71" s="102" t="s">
        <v>1311</v>
      </c>
      <c r="C71" s="102" t="s">
        <v>1312</v>
      </c>
    </row>
    <row r="72" spans="1:3" x14ac:dyDescent="0.2">
      <c r="A72" s="101">
        <v>71</v>
      </c>
      <c r="B72" s="102" t="s">
        <v>1313</v>
      </c>
      <c r="C72" s="102" t="s">
        <v>1314</v>
      </c>
    </row>
    <row r="73" spans="1:3" x14ac:dyDescent="0.2">
      <c r="A73" s="101">
        <v>72</v>
      </c>
      <c r="B73" s="102" t="s">
        <v>1315</v>
      </c>
      <c r="C73" s="102" t="s">
        <v>1316</v>
      </c>
    </row>
    <row r="74" spans="1:3" x14ac:dyDescent="0.2">
      <c r="A74" s="101">
        <v>73</v>
      </c>
      <c r="B74" s="102" t="s">
        <v>1317</v>
      </c>
      <c r="C74" s="102" t="s">
        <v>1318</v>
      </c>
    </row>
    <row r="75" spans="1:3" x14ac:dyDescent="0.2">
      <c r="A75" s="101">
        <v>74</v>
      </c>
      <c r="B75" s="102" t="s">
        <v>1319</v>
      </c>
      <c r="C75" s="102" t="s">
        <v>1320</v>
      </c>
    </row>
    <row r="76" spans="1:3" x14ac:dyDescent="0.2">
      <c r="A76" s="101">
        <v>75</v>
      </c>
      <c r="B76" s="102" t="s">
        <v>1321</v>
      </c>
      <c r="C76" s="102" t="s">
        <v>1322</v>
      </c>
    </row>
    <row r="77" spans="1:3" x14ac:dyDescent="0.2">
      <c r="A77" s="101">
        <v>76</v>
      </c>
      <c r="B77" s="102" t="s">
        <v>1323</v>
      </c>
      <c r="C77" s="102" t="s">
        <v>1324</v>
      </c>
    </row>
    <row r="78" spans="1:3" x14ac:dyDescent="0.2">
      <c r="A78" s="101">
        <v>77</v>
      </c>
      <c r="B78" s="102" t="s">
        <v>1325</v>
      </c>
      <c r="C78" s="102" t="s">
        <v>1326</v>
      </c>
    </row>
    <row r="79" spans="1:3" x14ac:dyDescent="0.2">
      <c r="A79" s="101">
        <v>78</v>
      </c>
      <c r="B79" s="102" t="s">
        <v>1327</v>
      </c>
      <c r="C79" s="102" t="s">
        <v>1328</v>
      </c>
    </row>
    <row r="80" spans="1:3" x14ac:dyDescent="0.2">
      <c r="A80" s="101">
        <v>79</v>
      </c>
      <c r="B80" s="102" t="s">
        <v>1329</v>
      </c>
      <c r="C80" s="102" t="s">
        <v>1330</v>
      </c>
    </row>
    <row r="81" spans="1:3" x14ac:dyDescent="0.2">
      <c r="A81" s="101">
        <v>80</v>
      </c>
      <c r="B81" s="102" t="s">
        <v>1331</v>
      </c>
      <c r="C81" s="102" t="s">
        <v>1332</v>
      </c>
    </row>
    <row r="82" spans="1:3" x14ac:dyDescent="0.2">
      <c r="A82" s="101">
        <v>81</v>
      </c>
      <c r="B82" s="102" t="s">
        <v>1333</v>
      </c>
      <c r="C82" s="102" t="s">
        <v>1334</v>
      </c>
    </row>
    <row r="83" spans="1:3" x14ac:dyDescent="0.2">
      <c r="A83" s="101">
        <v>82</v>
      </c>
      <c r="B83" s="102" t="s">
        <v>1335</v>
      </c>
      <c r="C83" s="102" t="s">
        <v>951</v>
      </c>
    </row>
    <row r="84" spans="1:3" x14ac:dyDescent="0.2">
      <c r="A84" s="101">
        <v>83</v>
      </c>
      <c r="B84" s="102" t="s">
        <v>1336</v>
      </c>
      <c r="C84" s="102" t="s">
        <v>1337</v>
      </c>
    </row>
    <row r="85" spans="1:3" x14ac:dyDescent="0.2">
      <c r="A85" s="101">
        <v>84</v>
      </c>
      <c r="B85" s="101" t="s">
        <v>1338</v>
      </c>
      <c r="C85" s="102" t="s">
        <v>1339</v>
      </c>
    </row>
    <row r="86" spans="1:3" x14ac:dyDescent="0.2">
      <c r="A86" s="101">
        <v>85</v>
      </c>
      <c r="B86" s="101" t="s">
        <v>1340</v>
      </c>
      <c r="C86" s="102" t="s">
        <v>1341</v>
      </c>
    </row>
    <row r="87" spans="1:3" x14ac:dyDescent="0.2">
      <c r="A87" s="101">
        <v>86</v>
      </c>
      <c r="B87" s="102" t="s">
        <v>938</v>
      </c>
      <c r="C87" s="102" t="s">
        <v>1342</v>
      </c>
    </row>
    <row r="88" spans="1:3" x14ac:dyDescent="0.2">
      <c r="A88" s="101">
        <v>87</v>
      </c>
      <c r="B88" s="102" t="s">
        <v>1100</v>
      </c>
      <c r="C88" s="102" t="s">
        <v>1101</v>
      </c>
    </row>
    <row r="89" spans="1:3" x14ac:dyDescent="0.2">
      <c r="A89" s="101">
        <v>88</v>
      </c>
      <c r="B89" s="102" t="s">
        <v>1343</v>
      </c>
      <c r="C89" s="102" t="s">
        <v>1103</v>
      </c>
    </row>
    <row r="90" spans="1:3" x14ac:dyDescent="0.2">
      <c r="A90" s="101">
        <v>89</v>
      </c>
      <c r="B90" s="102" t="s">
        <v>1106</v>
      </c>
      <c r="C90" s="102" t="s">
        <v>1107</v>
      </c>
    </row>
    <row r="91" spans="1:3" x14ac:dyDescent="0.2">
      <c r="A91" s="101">
        <v>90</v>
      </c>
      <c r="B91" s="102" t="s">
        <v>1098</v>
      </c>
      <c r="C91" s="102" t="s">
        <v>1344</v>
      </c>
    </row>
    <row r="92" spans="1:3" x14ac:dyDescent="0.2">
      <c r="A92" s="101">
        <v>91</v>
      </c>
      <c r="B92" s="102" t="s">
        <v>1049</v>
      </c>
      <c r="C92" s="102" t="s">
        <v>1051</v>
      </c>
    </row>
    <row r="93" spans="1:3" x14ac:dyDescent="0.2">
      <c r="A93" s="101">
        <v>92</v>
      </c>
      <c r="B93" s="102" t="s">
        <v>1121</v>
      </c>
      <c r="C93" s="102" t="s">
        <v>956</v>
      </c>
    </row>
    <row r="94" spans="1:3" x14ac:dyDescent="0.2">
      <c r="A94" s="101">
        <v>93</v>
      </c>
      <c r="B94" s="102" t="s">
        <v>1113</v>
      </c>
      <c r="C94" s="102" t="s">
        <v>1114</v>
      </c>
    </row>
    <row r="95" spans="1:3" x14ac:dyDescent="0.2">
      <c r="A95" s="101">
        <v>94</v>
      </c>
      <c r="B95" s="102" t="s">
        <v>1115</v>
      </c>
      <c r="C95" s="102" t="s">
        <v>1345</v>
      </c>
    </row>
    <row r="96" spans="1:3" x14ac:dyDescent="0.2">
      <c r="A96" s="101">
        <v>95</v>
      </c>
      <c r="B96" s="102" t="s">
        <v>1346</v>
      </c>
      <c r="C96" s="102" t="s">
        <v>1347</v>
      </c>
    </row>
    <row r="97" spans="1:3" x14ac:dyDescent="0.2">
      <c r="A97" s="101">
        <v>96</v>
      </c>
      <c r="B97" s="102" t="s">
        <v>1049</v>
      </c>
      <c r="C97" s="102" t="s">
        <v>1051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1C8FC-3FC7-425E-9364-F26E01177816}">
  <dimension ref="A1:J9"/>
  <sheetViews>
    <sheetView workbookViewId="0">
      <selection activeCell="F3" sqref="F3:G3"/>
    </sheetView>
  </sheetViews>
  <sheetFormatPr baseColWidth="10" defaultRowHeight="12.75" x14ac:dyDescent="0.2"/>
  <cols>
    <col min="1" max="16384" width="11.42578125" style="101"/>
  </cols>
  <sheetData>
    <row r="1" spans="1:10" x14ac:dyDescent="0.2">
      <c r="A1" s="102" t="s">
        <v>1404</v>
      </c>
      <c r="B1" s="101">
        <v>20</v>
      </c>
      <c r="C1" s="101">
        <v>30</v>
      </c>
      <c r="D1" s="101">
        <v>40</v>
      </c>
      <c r="E1" s="101">
        <v>50</v>
      </c>
      <c r="F1" s="101">
        <v>60</v>
      </c>
      <c r="G1" s="101">
        <v>70</v>
      </c>
      <c r="H1" s="101">
        <v>80</v>
      </c>
      <c r="I1" s="101">
        <v>90</v>
      </c>
      <c r="J1" s="101">
        <v>100</v>
      </c>
    </row>
    <row r="2" spans="1:10" x14ac:dyDescent="0.2">
      <c r="A2" s="102" t="s">
        <v>1180</v>
      </c>
      <c r="B2" s="101">
        <v>248</v>
      </c>
      <c r="C2" s="101">
        <v>355</v>
      </c>
      <c r="D2" s="101">
        <v>417</v>
      </c>
      <c r="E2" s="101">
        <v>479</v>
      </c>
      <c r="F2" s="101">
        <v>515</v>
      </c>
      <c r="G2" s="101">
        <v>563</v>
      </c>
      <c r="H2" s="101">
        <v>607</v>
      </c>
      <c r="I2" s="101">
        <v>628</v>
      </c>
      <c r="J2" s="101">
        <v>645</v>
      </c>
    </row>
    <row r="3" spans="1:10" x14ac:dyDescent="0.2">
      <c r="A3" s="102" t="s">
        <v>1181</v>
      </c>
      <c r="B3" s="101">
        <v>355</v>
      </c>
      <c r="C3" s="101">
        <v>543</v>
      </c>
      <c r="D3" s="101">
        <v>668</v>
      </c>
      <c r="E3" s="101">
        <v>798</v>
      </c>
      <c r="F3" s="101">
        <v>852</v>
      </c>
      <c r="G3" s="101">
        <v>976</v>
      </c>
      <c r="H3" s="101">
        <v>1027</v>
      </c>
      <c r="I3" s="101">
        <v>1055</v>
      </c>
      <c r="J3" s="101">
        <v>1072</v>
      </c>
    </row>
    <row r="4" spans="1:10" x14ac:dyDescent="0.2">
      <c r="A4" s="102" t="s">
        <v>1182</v>
      </c>
      <c r="B4" s="101">
        <v>460</v>
      </c>
      <c r="C4" s="101">
        <v>680</v>
      </c>
      <c r="D4" s="101">
        <v>809</v>
      </c>
      <c r="E4" s="101">
        <v>939</v>
      </c>
      <c r="F4" s="101">
        <v>1021</v>
      </c>
      <c r="G4" s="101">
        <v>1145</v>
      </c>
      <c r="H4" s="101">
        <v>1221</v>
      </c>
      <c r="I4" s="101">
        <v>1277</v>
      </c>
      <c r="J4" s="101">
        <v>1304</v>
      </c>
    </row>
    <row r="5" spans="1:10" x14ac:dyDescent="0.2">
      <c r="A5" s="101" t="s">
        <v>1183</v>
      </c>
      <c r="B5" s="101">
        <v>303</v>
      </c>
      <c r="C5" s="101">
        <v>507</v>
      </c>
      <c r="D5" s="101">
        <v>620</v>
      </c>
      <c r="E5" s="101">
        <v>732</v>
      </c>
      <c r="F5" s="101">
        <v>823</v>
      </c>
      <c r="G5" s="101">
        <v>864</v>
      </c>
      <c r="H5" s="101">
        <v>924</v>
      </c>
      <c r="I5" s="101">
        <v>991</v>
      </c>
      <c r="J5" s="101">
        <v>1060</v>
      </c>
    </row>
    <row r="6" spans="1:10" x14ac:dyDescent="0.2">
      <c r="A6" s="101" t="s">
        <v>1184</v>
      </c>
      <c r="B6" s="101">
        <v>406</v>
      </c>
      <c r="C6" s="101">
        <v>812</v>
      </c>
      <c r="D6" s="101">
        <v>992</v>
      </c>
      <c r="E6" s="101">
        <v>1184</v>
      </c>
      <c r="F6" s="101">
        <v>1280</v>
      </c>
      <c r="G6" s="101">
        <v>1403</v>
      </c>
      <c r="H6" s="101">
        <v>1521</v>
      </c>
      <c r="I6" s="101">
        <v>1626</v>
      </c>
      <c r="J6" s="101">
        <v>1735</v>
      </c>
    </row>
    <row r="7" spans="1:10" x14ac:dyDescent="0.2">
      <c r="A7" s="101" t="s">
        <v>1185</v>
      </c>
      <c r="B7" s="101">
        <v>506</v>
      </c>
      <c r="C7" s="101">
        <v>959</v>
      </c>
      <c r="D7" s="101">
        <v>1184</v>
      </c>
      <c r="E7" s="101">
        <v>1406</v>
      </c>
      <c r="F7" s="101">
        <v>1518</v>
      </c>
      <c r="G7" s="101">
        <v>1640</v>
      </c>
      <c r="H7" s="101">
        <v>1771</v>
      </c>
      <c r="I7" s="101">
        <v>1902</v>
      </c>
      <c r="J7" s="101">
        <v>2030</v>
      </c>
    </row>
    <row r="8" spans="1:10" x14ac:dyDescent="0.2">
      <c r="A8" s="101" t="s">
        <v>1186</v>
      </c>
      <c r="B8" s="101">
        <v>1124</v>
      </c>
      <c r="C8" s="101">
        <v>1459</v>
      </c>
      <c r="D8" s="101">
        <v>1669</v>
      </c>
      <c r="E8" s="101">
        <v>1831</v>
      </c>
      <c r="F8" s="101">
        <v>1926</v>
      </c>
      <c r="G8" s="101">
        <v>2004</v>
      </c>
      <c r="H8" s="101">
        <v>2052</v>
      </c>
      <c r="I8" s="101">
        <v>2080</v>
      </c>
      <c r="J8" s="101">
        <v>2105</v>
      </c>
    </row>
    <row r="9" spans="1:10" x14ac:dyDescent="0.2">
      <c r="A9" s="101" t="s">
        <v>1187</v>
      </c>
      <c r="B9" s="101">
        <v>1336</v>
      </c>
      <c r="C9" s="101">
        <v>1711</v>
      </c>
      <c r="D9" s="101">
        <v>1908</v>
      </c>
      <c r="E9" s="101">
        <v>2081</v>
      </c>
      <c r="F9" s="101">
        <v>2164</v>
      </c>
      <c r="G9" s="101">
        <v>2203</v>
      </c>
      <c r="H9" s="101">
        <v>2230</v>
      </c>
      <c r="I9" s="101">
        <v>2245</v>
      </c>
      <c r="J9" s="101">
        <v>2266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F629A-E865-4C9D-B619-B6CBFDAF4268}">
  <dimension ref="A1:Q96"/>
  <sheetViews>
    <sheetView showGridLines="0" showRowColHeaders="0" zoomScaleNormal="100" workbookViewId="0">
      <selection activeCell="G3" sqref="G3:H3"/>
    </sheetView>
  </sheetViews>
  <sheetFormatPr baseColWidth="10" defaultColWidth="0" defaultRowHeight="12.75" customHeight="1" zeroHeight="1" x14ac:dyDescent="0.2"/>
  <cols>
    <col min="1" max="1" width="2.5703125" style="101" customWidth="1"/>
    <col min="2" max="3" width="7.28515625" style="101" customWidth="1"/>
    <col min="4" max="4" width="4.7109375" style="101" customWidth="1"/>
    <col min="5" max="5" width="7.28515625" style="101" customWidth="1"/>
    <col min="6" max="6" width="4.7109375" style="101" customWidth="1"/>
    <col min="7" max="7" width="7.28515625" style="101" customWidth="1"/>
    <col min="8" max="8" width="4.7109375" style="101" customWidth="1"/>
    <col min="9" max="9" width="7.28515625" style="101" customWidth="1"/>
    <col min="10" max="10" width="4.7109375" style="101" customWidth="1"/>
    <col min="11" max="11" width="7.28515625" style="101" customWidth="1"/>
    <col min="12" max="12" width="4.7109375" style="101" customWidth="1"/>
    <col min="13" max="13" width="7.28515625" style="101" customWidth="1"/>
    <col min="14" max="14" width="4.7109375" style="101" customWidth="1"/>
    <col min="15" max="15" width="7.28515625" style="101" customWidth="1"/>
    <col min="16" max="16" width="4.7109375" style="101" customWidth="1"/>
    <col min="17" max="17" width="2.5703125" style="101" customWidth="1"/>
    <col min="18" max="16384" width="11.5703125" style="101" hidden="1"/>
  </cols>
  <sheetData>
    <row r="1" spans="2:16" x14ac:dyDescent="0.2"/>
    <row r="2" spans="2:16" ht="14.25" x14ac:dyDescent="0.2"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</row>
    <row r="3" spans="2:16" ht="15" x14ac:dyDescent="0.25">
      <c r="B3" s="104" t="str">
        <f>VLOOKUP(86,TXT,$C$10,0)</f>
        <v>Sprache</v>
      </c>
      <c r="C3" s="104"/>
      <c r="D3" s="104"/>
      <c r="E3" s="104"/>
      <c r="F3" s="105"/>
      <c r="G3" s="407" t="s">
        <v>1079</v>
      </c>
      <c r="H3" s="408"/>
      <c r="I3" s="104"/>
      <c r="J3" s="104" t="str">
        <f>CONCATENATE(VLOOKUP(66,TXT,$C$10,0)," [°C]")</f>
        <v>Vorlauftemperatur [°C]</v>
      </c>
      <c r="K3" s="104"/>
      <c r="L3" s="104"/>
      <c r="M3" s="104"/>
      <c r="N3" s="105"/>
      <c r="O3" s="409">
        <v>50</v>
      </c>
      <c r="P3" s="410"/>
    </row>
    <row r="4" spans="2:16" ht="15" x14ac:dyDescent="0.25">
      <c r="B4" s="104" t="str">
        <f>VLOOKUP(72,TXT,$C$10,0)</f>
        <v>Bodenwanne Höhe [mm]</v>
      </c>
      <c r="C4" s="104"/>
      <c r="D4" s="104"/>
      <c r="E4" s="104"/>
      <c r="F4" s="105"/>
      <c r="G4" s="411">
        <v>120</v>
      </c>
      <c r="H4" s="412"/>
      <c r="I4" s="104"/>
      <c r="J4" s="104" t="str">
        <f>CONCATENATE(VLOOKUP(67,TXT,$C$10,0)," [°C]")</f>
        <v>Rücklauftemperatur [°C]</v>
      </c>
      <c r="K4" s="104"/>
      <c r="L4" s="104"/>
      <c r="M4" s="104"/>
      <c r="N4" s="105"/>
      <c r="O4" s="409">
        <v>40</v>
      </c>
      <c r="P4" s="410"/>
    </row>
    <row r="5" spans="2:16" ht="15" x14ac:dyDescent="0.25">
      <c r="B5" s="104"/>
      <c r="C5" s="104"/>
      <c r="D5" s="104"/>
      <c r="E5" s="104"/>
      <c r="F5" s="104"/>
      <c r="G5" s="104"/>
      <c r="H5" s="104"/>
      <c r="I5" s="104"/>
      <c r="J5" s="104" t="str">
        <f>CONCATENATE(VLOOKUP(68,TXT,$C$10,0)," [°C]")</f>
        <v>Raumtemperatur [°C]</v>
      </c>
      <c r="K5" s="104"/>
      <c r="L5" s="104"/>
      <c r="M5" s="104"/>
      <c r="N5" s="105"/>
      <c r="O5" s="409">
        <v>20</v>
      </c>
      <c r="P5" s="410"/>
    </row>
    <row r="6" spans="2:16" ht="15" x14ac:dyDescent="0.2">
      <c r="B6" s="106" t="s">
        <v>1176</v>
      </c>
      <c r="C6" s="104"/>
      <c r="D6" s="104"/>
      <c r="E6" s="104"/>
      <c r="F6" s="104"/>
      <c r="G6" s="104"/>
      <c r="H6" s="104"/>
      <c r="I6" s="104"/>
      <c r="J6" s="107"/>
      <c r="K6" s="107"/>
      <c r="L6" s="107"/>
      <c r="M6" s="107"/>
      <c r="N6" s="107"/>
      <c r="O6" s="107"/>
      <c r="P6" s="107"/>
    </row>
    <row r="7" spans="2:16" hidden="1" x14ac:dyDescent="0.2">
      <c r="J7" s="108"/>
      <c r="K7" s="108"/>
      <c r="L7" s="108"/>
      <c r="M7" s="108"/>
      <c r="N7" s="108"/>
      <c r="O7" s="108"/>
      <c r="P7" s="108"/>
    </row>
    <row r="8" spans="2:16" hidden="1" x14ac:dyDescent="0.2"/>
    <row r="9" spans="2:16" hidden="1" x14ac:dyDescent="0.2"/>
    <row r="10" spans="2:16" hidden="1" x14ac:dyDescent="0.2">
      <c r="B10" s="102" t="s">
        <v>938</v>
      </c>
      <c r="C10" s="101">
        <f>VLOOKUP(G3,E10:F12,2,1)</f>
        <v>2</v>
      </c>
      <c r="E10" s="102" t="s">
        <v>1079</v>
      </c>
      <c r="F10" s="101">
        <v>2</v>
      </c>
    </row>
    <row r="11" spans="2:16" hidden="1" x14ac:dyDescent="0.2">
      <c r="E11" s="102" t="s">
        <v>1080</v>
      </c>
      <c r="F11" s="101">
        <v>3</v>
      </c>
    </row>
    <row r="12" spans="2:16" hidden="1" x14ac:dyDescent="0.2">
      <c r="E12" s="102" t="s">
        <v>1081</v>
      </c>
      <c r="F12" s="101">
        <v>4</v>
      </c>
    </row>
    <row r="13" spans="2:16" hidden="1" x14ac:dyDescent="0.2">
      <c r="B13" s="101" t="s">
        <v>1177</v>
      </c>
      <c r="C13" s="101" cm="1">
        <f t="array" ref="C13">SUM((O3:O4)/2)-O5</f>
        <v>25</v>
      </c>
      <c r="D13" s="101">
        <f>SUM(O3-O4)</f>
        <v>10</v>
      </c>
      <c r="E13" s="102"/>
    </row>
    <row r="14" spans="2:16" hidden="1" x14ac:dyDescent="0.2">
      <c r="B14" s="101" t="s">
        <v>1178</v>
      </c>
      <c r="C14" s="101">
        <f>VLOOKUP(C13,FAKT_C109,2,-1)</f>
        <v>0.33400000000000002</v>
      </c>
      <c r="E14" s="102"/>
    </row>
    <row r="15" spans="2:16" hidden="1" x14ac:dyDescent="0.2">
      <c r="B15" s="101" t="s">
        <v>1179</v>
      </c>
      <c r="C15" s="101" t="str">
        <f>CONCATENATE("'BASE-C",G4,"POWER","'")</f>
        <v>'BASE-C120POWER'</v>
      </c>
      <c r="E15" s="102"/>
    </row>
    <row r="16" spans="2:16" hidden="1" x14ac:dyDescent="0.2">
      <c r="E16" s="102"/>
    </row>
    <row r="17" spans="2:16" ht="20.25" customHeight="1" x14ac:dyDescent="0.2">
      <c r="B17" s="109"/>
      <c r="C17" s="109"/>
      <c r="D17" s="109"/>
      <c r="E17" s="110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11" t="str">
        <f>IF(OR((O3-O4)&lt;3,(O4-O5)&lt;3,(O3-O4)&gt;25,O5&lt;15),VLOOKUP(94,TXT,$C$10,0),"")</f>
        <v/>
      </c>
    </row>
    <row r="18" spans="2:16" ht="30" customHeight="1" x14ac:dyDescent="0.3">
      <c r="B18" s="406" t="str">
        <f>VLOOKUP(71,TXT,$C$10,0)</f>
        <v>Bodenkonvektoren für freie Konvektion</v>
      </c>
      <c r="C18" s="406"/>
      <c r="D18" s="406"/>
      <c r="E18" s="406"/>
      <c r="F18" s="406"/>
      <c r="G18" s="406"/>
      <c r="H18" s="406"/>
      <c r="I18" s="406"/>
      <c r="J18" s="406"/>
      <c r="K18" s="406"/>
      <c r="L18" s="406"/>
      <c r="M18" s="406"/>
      <c r="N18" s="406"/>
      <c r="O18" s="406"/>
      <c r="P18" s="406"/>
    </row>
    <row r="19" spans="2:16" ht="31.15" customHeight="1" x14ac:dyDescent="0.2">
      <c r="B19" s="112"/>
      <c r="C19" s="405" t="str" cm="1">
        <f t="array" aca="1" ref="C19" ca="1">INDIRECT($C$15&amp;"!"&amp;"C1")</f>
        <v>LIB 176-120 POWER+</v>
      </c>
      <c r="D19" s="405"/>
      <c r="E19" s="405" t="str" cm="1">
        <f t="array" aca="1" ref="E19" ca="1">INDIRECT($C$15&amp;"!"&amp;"D1")</f>
        <v>LIB 224-120 POWER+</v>
      </c>
      <c r="F19" s="405"/>
      <c r="G19" s="405" t="str" cm="1">
        <f t="array" aca="1" ref="G19" ca="1">INDIRECT($C$15&amp;"!"&amp;"E1")</f>
        <v>LIB 240-120 POWER+</v>
      </c>
      <c r="H19" s="405"/>
      <c r="I19" s="405" t="str" cm="1">
        <f t="array" aca="1" ref="I19" ca="1">INDIRECT($C$15&amp;"!"&amp;"F1")</f>
        <v>LIB 272-120 POWER+</v>
      </c>
      <c r="J19" s="405"/>
      <c r="K19" s="405" t="str" cm="1">
        <f t="array" aca="1" ref="K19" ca="1">INDIRECT($C$15&amp;"!"&amp;"G1")</f>
        <v>LIB 304-120 POWER+</v>
      </c>
      <c r="L19" s="405"/>
      <c r="M19" s="405" t="str" cm="1">
        <f t="array" aca="1" ref="M19" ca="1">INDIRECT($C$15&amp;"!"&amp;"H1")</f>
        <v>LIB 336-120 POWER+</v>
      </c>
      <c r="N19" s="405"/>
      <c r="O19" s="405" t="str" cm="1">
        <f t="array" aca="1" ref="O19" ca="1">INDIRECT($C$15&amp;"!"&amp;"I1")</f>
        <v>LIB 368-120 POWER+</v>
      </c>
      <c r="P19" s="405"/>
    </row>
    <row r="20" spans="2:16" ht="102.75" customHeight="1" x14ac:dyDescent="0.2">
      <c r="B20" s="113" t="str">
        <f>CONCATENATE(VLOOKUP(70,TXT,$C$10,0)&amp;CHAR(10),"Bk [mm]")</f>
        <v>Bodenkonvektor-Länge
Bk [mm]</v>
      </c>
      <c r="C20" s="114" t="str">
        <f>CONCATENATE(VLOOKUP(65,TXT,$C$10,0)&amp;CHAR(10),$O$3&amp;"/"&amp;$O$4&amp;"/+"&amp;$O$5&amp;"°C")</f>
        <v>Wärmeleistung
50/40/+20°C</v>
      </c>
      <c r="D20" s="115" t="str">
        <f>CONCATENATE(VLOOKUP(69,TXT,$C$10,0)&amp;CHAR(10),"[kgl/h] (*)")</f>
        <v>Wassermassenstrom
[kgl/h] (*)</v>
      </c>
      <c r="E20" s="114" t="str">
        <f>CONCATENATE(VLOOKUP(65,TXT,$C$10,0)&amp;CHAR(10),$O$3&amp;"/"&amp;$O$4&amp;"/+"&amp;$O$5&amp;"°C")</f>
        <v>Wärmeleistung
50/40/+20°C</v>
      </c>
      <c r="F20" s="115" t="str">
        <f>CONCATENATE(VLOOKUP(69,TXT,$C$10,0)&amp;CHAR(10),"[kgl/h] (*)")</f>
        <v>Wassermassenstrom
[kgl/h] (*)</v>
      </c>
      <c r="G20" s="114" t="str">
        <f>CONCATENATE(VLOOKUP(65,TXT,$C$10,0)&amp;CHAR(10),$O$3&amp;"/"&amp;$O$4&amp;"/+"&amp;$O$5&amp;"°C")</f>
        <v>Wärmeleistung
50/40/+20°C</v>
      </c>
      <c r="H20" s="115" t="str">
        <f>CONCATENATE(VLOOKUP(69,TXT,$C$10,0)&amp;CHAR(10),"[kgl/h] (*)")</f>
        <v>Wassermassenstrom
[kgl/h] (*)</v>
      </c>
      <c r="I20" s="114" t="str">
        <f>CONCATENATE(VLOOKUP(65,TXT,$C$10,0)&amp;CHAR(10),$O$3&amp;"/"&amp;$O$4&amp;"/+"&amp;$O$5&amp;"°C")</f>
        <v>Wärmeleistung
50/40/+20°C</v>
      </c>
      <c r="J20" s="115" t="str">
        <f>CONCATENATE(VLOOKUP(69,TXT,$C$10,0)&amp;CHAR(10),"[kgl/h] (*)")</f>
        <v>Wassermassenstrom
[kgl/h] (*)</v>
      </c>
      <c r="K20" s="114" t="str">
        <f>CONCATENATE(VLOOKUP(65,TXT,$C$10,0)&amp;CHAR(10),$O$3&amp;"/"&amp;$O$4&amp;"/+"&amp;$O$5&amp;"°C")</f>
        <v>Wärmeleistung
50/40/+20°C</v>
      </c>
      <c r="L20" s="115" t="str">
        <f>CONCATENATE(VLOOKUP(69,TXT,$C$10,0)&amp;CHAR(10),"[kgl/h] (*)")</f>
        <v>Wassermassenstrom
[kgl/h] (*)</v>
      </c>
      <c r="M20" s="114" t="str">
        <f>CONCATENATE(VLOOKUP(65,TXT,$C$10,0)&amp;CHAR(10),$O$3&amp;"/"&amp;$O$4&amp;"/+"&amp;$O$5&amp;"°C")</f>
        <v>Wärmeleistung
50/40/+20°C</v>
      </c>
      <c r="N20" s="115" t="str">
        <f>CONCATENATE(VLOOKUP(69,TXT,$C$10,0)&amp;CHAR(10),"[kgl/h] (*)")</f>
        <v>Wassermassenstrom
[kgl/h] (*)</v>
      </c>
      <c r="O20" s="114" t="str">
        <f>CONCATENATE(VLOOKUP(65,TXT,$C$10,0)&amp;CHAR(10),$O$3&amp;"/"&amp;$O$4&amp;"/+"&amp;$O$5&amp;"°C")</f>
        <v>Wärmeleistung
50/40/+20°C</v>
      </c>
      <c r="P20" s="115" t="str">
        <f>CONCATENATE(VLOOKUP(69,TXT,$C$10,0)&amp;CHAR(10),"[kgl/h] (*)")</f>
        <v>Wassermassenstrom
[kgl/h] (*)</v>
      </c>
    </row>
    <row r="21" spans="2:16" x14ac:dyDescent="0.2">
      <c r="B21" s="116">
        <v>750</v>
      </c>
      <c r="C21" s="117" cm="1">
        <f t="array" aca="1" ref="C21" ca="1">ROUND(INDIRECT($C$15&amp;"!"&amp;"C"&amp;TEXT(SUM(ROW(B21)-19),"#"))*($C$14),0)</f>
        <v>41</v>
      </c>
      <c r="D21" s="118">
        <f ca="1">ROUNDUP(C21/($D$13*1.161),0)</f>
        <v>4</v>
      </c>
      <c r="E21" s="117" cm="1">
        <f t="array" aca="1" ref="E21" ca="1">ROUND(INDIRECT($C$15&amp;"!"&amp;"D"&amp;TEXT(SUM(ROW(D21)-19),"#"))*($C$14),0)</f>
        <v>50</v>
      </c>
      <c r="F21" s="118">
        <f ca="1">ROUNDUP(E21/($D$13*1.161),0)</f>
        <v>5</v>
      </c>
      <c r="G21" s="117" cm="1">
        <f t="array" aca="1" ref="G21" ca="1">ROUND(INDIRECT($C$15&amp;"!"&amp;"E"&amp;TEXT(SUM(ROW(F21)-19),"#"))*($C$14),0)</f>
        <v>52</v>
      </c>
      <c r="H21" s="118">
        <f ca="1">ROUNDUP(G21/($D$13*1.161),0)</f>
        <v>5</v>
      </c>
      <c r="I21" s="117" cm="1">
        <f t="array" aca="1" ref="I21" ca="1">ROUND(INDIRECT($C$15&amp;"!"&amp;"F"&amp;TEXT(SUM(ROW(H21)-19),"#"))*($C$14),0)</f>
        <v>67</v>
      </c>
      <c r="J21" s="118">
        <f ca="1">ROUNDUP(I21/($D$13*1.161),0)</f>
        <v>6</v>
      </c>
      <c r="K21" s="117" cm="1">
        <f t="array" aca="1" ref="K21" ca="1">ROUND(INDIRECT($C$15&amp;"!"&amp;"G"&amp;TEXT(SUM(ROW(J21)-19),"#"))*($C$14),0)</f>
        <v>71</v>
      </c>
      <c r="L21" s="118">
        <f ca="1">ROUNDUP(K21/($D$13*1.161),0)</f>
        <v>7</v>
      </c>
      <c r="M21" s="117" cm="1">
        <f t="array" aca="1" ref="M21" ca="1">ROUND(INDIRECT($C$15&amp;"!"&amp;"H"&amp;TEXT(SUM(ROW(L21)-19),"#"))*($C$14),0)</f>
        <v>77</v>
      </c>
      <c r="N21" s="118">
        <f ca="1">ROUNDUP(M21/($D$13*1.161),0)</f>
        <v>7</v>
      </c>
      <c r="O21" s="117" cm="1">
        <f t="array" aca="1" ref="O21" ca="1">ROUND(INDIRECT($C$15&amp;"!"&amp;"I"&amp;TEXT(SUM(ROW(N21)-19),"#"))*($C$14),0)</f>
        <v>89</v>
      </c>
      <c r="P21" s="118">
        <f ca="1">ROUNDUP(O21/($D$13*1.161),0)</f>
        <v>8</v>
      </c>
    </row>
    <row r="22" spans="2:16" x14ac:dyDescent="0.2">
      <c r="B22" s="119">
        <v>850</v>
      </c>
      <c r="C22" s="117" cm="1">
        <f t="array" aca="1" ref="C22" ca="1">ROUND(INDIRECT($C$15&amp;"!"&amp;"C"&amp;TEXT(SUM(ROW(B22)-19),"#"))*($C$14),0)</f>
        <v>51</v>
      </c>
      <c r="D22" s="118">
        <f t="shared" ref="D22:D40" ca="1" si="0">ROUNDUP(C22/($D$13*1.161),0)</f>
        <v>5</v>
      </c>
      <c r="E22" s="117" cm="1">
        <f t="array" aca="1" ref="E22" ca="1">ROUND(INDIRECT($C$15&amp;"!"&amp;"D"&amp;TEXT(SUM(ROW(D22)-19),"#"))*($C$14),0)</f>
        <v>63</v>
      </c>
      <c r="F22" s="118">
        <f t="shared" ref="F22:F40" ca="1" si="1">ROUNDUP(E22/($D$13*1.161),0)</f>
        <v>6</v>
      </c>
      <c r="G22" s="117" cm="1">
        <f t="array" aca="1" ref="G22" ca="1">ROUND(INDIRECT($C$15&amp;"!"&amp;"E"&amp;TEXT(SUM(ROW(F22)-19),"#"))*($C$14),0)</f>
        <v>65</v>
      </c>
      <c r="H22" s="118">
        <f t="shared" ref="H22:H40" ca="1" si="2">ROUNDUP(G22/($D$13*1.161),0)</f>
        <v>6</v>
      </c>
      <c r="I22" s="117" cm="1">
        <f t="array" aca="1" ref="I22" ca="1">ROUND(INDIRECT($C$15&amp;"!"&amp;"F"&amp;TEXT(SUM(ROW(H22)-19),"#"))*($C$14),0)</f>
        <v>84</v>
      </c>
      <c r="J22" s="118">
        <f t="shared" ref="J22:J40" ca="1" si="3">ROUNDUP(I22/($D$13*1.161),0)</f>
        <v>8</v>
      </c>
      <c r="K22" s="117" cm="1">
        <f t="array" aca="1" ref="K22" ca="1">ROUND(INDIRECT($C$15&amp;"!"&amp;"G"&amp;TEXT(SUM(ROW(J22)-19),"#"))*($C$14),0)</f>
        <v>90</v>
      </c>
      <c r="L22" s="118">
        <f t="shared" ref="L22:L40" ca="1" si="4">ROUNDUP(K22/($D$13*1.161),0)</f>
        <v>8</v>
      </c>
      <c r="M22" s="117" cm="1">
        <f t="array" aca="1" ref="M22" ca="1">ROUND(INDIRECT($C$15&amp;"!"&amp;"H"&amp;TEXT(SUM(ROW(L22)-19),"#"))*($C$14),0)</f>
        <v>96</v>
      </c>
      <c r="N22" s="118">
        <f t="shared" ref="N22:N40" ca="1" si="5">ROUNDUP(M22/($D$13*1.161),0)</f>
        <v>9</v>
      </c>
      <c r="O22" s="117" cm="1">
        <f t="array" aca="1" ref="O22" ca="1">ROUND(INDIRECT($C$15&amp;"!"&amp;"I"&amp;TEXT(SUM(ROW(N22)-19),"#"))*($C$14),0)</f>
        <v>111</v>
      </c>
      <c r="P22" s="118">
        <f t="shared" ref="P22:P40" ca="1" si="6">ROUNDUP(O22/($D$13*1.161),0)</f>
        <v>10</v>
      </c>
    </row>
    <row r="23" spans="2:16" x14ac:dyDescent="0.2">
      <c r="B23" s="119">
        <v>950</v>
      </c>
      <c r="C23" s="117" cm="1">
        <f t="array" aca="1" ref="C23" ca="1">ROUND(INDIRECT($C$15&amp;"!"&amp;"C"&amp;TEXT(SUM(ROW(B23)-19),"#"))*($C$14),0)</f>
        <v>61</v>
      </c>
      <c r="D23" s="118">
        <f t="shared" ca="1" si="0"/>
        <v>6</v>
      </c>
      <c r="E23" s="117" cm="1">
        <f t="array" aca="1" ref="E23" ca="1">ROUND(INDIRECT($C$15&amp;"!"&amp;"D"&amp;TEXT(SUM(ROW(D23)-19),"#"))*($C$14),0)</f>
        <v>75</v>
      </c>
      <c r="F23" s="118">
        <f t="shared" ca="1" si="1"/>
        <v>7</v>
      </c>
      <c r="G23" s="117" cm="1">
        <f t="array" aca="1" ref="G23" ca="1">ROUND(INDIRECT($C$15&amp;"!"&amp;"E"&amp;TEXT(SUM(ROW(F23)-19),"#"))*($C$14),0)</f>
        <v>78</v>
      </c>
      <c r="H23" s="118">
        <f t="shared" ca="1" si="2"/>
        <v>7</v>
      </c>
      <c r="I23" s="117" cm="1">
        <f t="array" aca="1" ref="I23" ca="1">ROUND(INDIRECT($C$15&amp;"!"&amp;"F"&amp;TEXT(SUM(ROW(H23)-19),"#"))*($C$14),0)</f>
        <v>101</v>
      </c>
      <c r="J23" s="118">
        <f t="shared" ca="1" si="3"/>
        <v>9</v>
      </c>
      <c r="K23" s="117" cm="1">
        <f t="array" aca="1" ref="K23" ca="1">ROUND(INDIRECT($C$15&amp;"!"&amp;"G"&amp;TEXT(SUM(ROW(J23)-19),"#"))*($C$14),0)</f>
        <v>107</v>
      </c>
      <c r="L23" s="118">
        <f t="shared" ca="1" si="4"/>
        <v>10</v>
      </c>
      <c r="M23" s="117" cm="1">
        <f t="array" aca="1" ref="M23" ca="1">ROUND(INDIRECT($C$15&amp;"!"&amp;"H"&amp;TEXT(SUM(ROW(L23)-19),"#"))*($C$14),0)</f>
        <v>116</v>
      </c>
      <c r="N23" s="118">
        <f t="shared" ca="1" si="5"/>
        <v>10</v>
      </c>
      <c r="O23" s="117" cm="1">
        <f t="array" aca="1" ref="O23" ca="1">ROUND(INDIRECT($C$15&amp;"!"&amp;"I"&amp;TEXT(SUM(ROW(N23)-19),"#"))*($C$14),0)</f>
        <v>133</v>
      </c>
      <c r="P23" s="118">
        <f t="shared" ca="1" si="6"/>
        <v>12</v>
      </c>
    </row>
    <row r="24" spans="2:16" x14ac:dyDescent="0.2">
      <c r="B24" s="119">
        <v>1050</v>
      </c>
      <c r="C24" s="117" cm="1">
        <f t="array" aca="1" ref="C24" ca="1">ROUND(INDIRECT($C$15&amp;"!"&amp;"C"&amp;TEXT(SUM(ROW(B24)-19),"#"))*($C$14),0)</f>
        <v>71</v>
      </c>
      <c r="D24" s="118">
        <f t="shared" ca="1" si="0"/>
        <v>7</v>
      </c>
      <c r="E24" s="117" cm="1">
        <f t="array" aca="1" ref="E24" ca="1">ROUND(INDIRECT($C$15&amp;"!"&amp;"D"&amp;TEXT(SUM(ROW(D24)-19),"#"))*($C$14),0)</f>
        <v>88</v>
      </c>
      <c r="F24" s="118">
        <f t="shared" ca="1" si="1"/>
        <v>8</v>
      </c>
      <c r="G24" s="117" cm="1">
        <f t="array" aca="1" ref="G24" ca="1">ROUND(INDIRECT($C$15&amp;"!"&amp;"E"&amp;TEXT(SUM(ROW(F24)-19),"#"))*($C$14),0)</f>
        <v>91</v>
      </c>
      <c r="H24" s="118">
        <f t="shared" ca="1" si="2"/>
        <v>8</v>
      </c>
      <c r="I24" s="117" cm="1">
        <f t="array" aca="1" ref="I24" ca="1">ROUND(INDIRECT($C$15&amp;"!"&amp;"F"&amp;TEXT(SUM(ROW(H24)-19),"#"))*($C$14),0)</f>
        <v>117</v>
      </c>
      <c r="J24" s="118">
        <f t="shared" ca="1" si="3"/>
        <v>11</v>
      </c>
      <c r="K24" s="117" cm="1">
        <f t="array" aca="1" ref="K24" ca="1">ROUND(INDIRECT($C$15&amp;"!"&amp;"G"&amp;TEXT(SUM(ROW(J24)-19),"#"))*($C$14),0)</f>
        <v>125</v>
      </c>
      <c r="L24" s="118">
        <f t="shared" ca="1" si="4"/>
        <v>11</v>
      </c>
      <c r="M24" s="117" cm="1">
        <f t="array" aca="1" ref="M24" ca="1">ROUND(INDIRECT($C$15&amp;"!"&amp;"H"&amp;TEXT(SUM(ROW(L24)-19),"#"))*($C$14),0)</f>
        <v>135</v>
      </c>
      <c r="N24" s="118">
        <f t="shared" ca="1" si="5"/>
        <v>12</v>
      </c>
      <c r="O24" s="117" cm="1">
        <f t="array" aca="1" ref="O24" ca="1">ROUND(INDIRECT($C$15&amp;"!"&amp;"I"&amp;TEXT(SUM(ROW(N24)-19),"#"))*($C$14),0)</f>
        <v>155</v>
      </c>
      <c r="P24" s="118">
        <f t="shared" ca="1" si="6"/>
        <v>14</v>
      </c>
    </row>
    <row r="25" spans="2:16" x14ac:dyDescent="0.2">
      <c r="B25" s="119">
        <v>1150</v>
      </c>
      <c r="C25" s="117" cm="1">
        <f t="array" aca="1" ref="C25" ca="1">ROUND(INDIRECT($C$15&amp;"!"&amp;"C"&amp;TEXT(SUM(ROW(B25)-19),"#"))*($C$14),0)</f>
        <v>81</v>
      </c>
      <c r="D25" s="118">
        <f t="shared" ca="1" si="0"/>
        <v>7</v>
      </c>
      <c r="E25" s="117" cm="1">
        <f t="array" aca="1" ref="E25" ca="1">ROUND(INDIRECT($C$15&amp;"!"&amp;"D"&amp;TEXT(SUM(ROW(D25)-19),"#"))*($C$14),0)</f>
        <v>101</v>
      </c>
      <c r="F25" s="118">
        <f t="shared" ca="1" si="1"/>
        <v>9</v>
      </c>
      <c r="G25" s="117" cm="1">
        <f t="array" aca="1" ref="G25" ca="1">ROUND(INDIRECT($C$15&amp;"!"&amp;"E"&amp;TEXT(SUM(ROW(F25)-19),"#"))*($C$14),0)</f>
        <v>104</v>
      </c>
      <c r="H25" s="118">
        <f t="shared" ca="1" si="2"/>
        <v>9</v>
      </c>
      <c r="I25" s="117" cm="1">
        <f t="array" aca="1" ref="I25" ca="1">ROUND(INDIRECT($C$15&amp;"!"&amp;"F"&amp;TEXT(SUM(ROW(H25)-19),"#"))*($C$14),0)</f>
        <v>134</v>
      </c>
      <c r="J25" s="118">
        <f t="shared" ca="1" si="3"/>
        <v>12</v>
      </c>
      <c r="K25" s="117" cm="1">
        <f t="array" aca="1" ref="K25" ca="1">ROUND(INDIRECT($C$15&amp;"!"&amp;"G"&amp;TEXT(SUM(ROW(J25)-19),"#"))*($C$14),0)</f>
        <v>143</v>
      </c>
      <c r="L25" s="118">
        <f t="shared" ca="1" si="4"/>
        <v>13</v>
      </c>
      <c r="M25" s="117" cm="1">
        <f t="array" aca="1" ref="M25" ca="1">ROUND(INDIRECT($C$15&amp;"!"&amp;"H"&amp;TEXT(SUM(ROW(L25)-19),"#"))*($C$14),0)</f>
        <v>154</v>
      </c>
      <c r="N25" s="118">
        <f t="shared" ca="1" si="5"/>
        <v>14</v>
      </c>
      <c r="O25" s="117" cm="1">
        <f t="array" aca="1" ref="O25" ca="1">ROUND(INDIRECT($C$15&amp;"!"&amp;"I"&amp;TEXT(SUM(ROW(N25)-19),"#"))*($C$14),0)</f>
        <v>177</v>
      </c>
      <c r="P25" s="118">
        <f t="shared" ca="1" si="6"/>
        <v>16</v>
      </c>
    </row>
    <row r="26" spans="2:16" x14ac:dyDescent="0.2">
      <c r="B26" s="119">
        <v>1250</v>
      </c>
      <c r="C26" s="117" cm="1">
        <f t="array" aca="1" ref="C26" ca="1">ROUND(INDIRECT($C$15&amp;"!"&amp;"C"&amp;TEXT(SUM(ROW(B26)-19),"#"))*($C$14),0)</f>
        <v>92</v>
      </c>
      <c r="D26" s="118">
        <f t="shared" ca="1" si="0"/>
        <v>8</v>
      </c>
      <c r="E26" s="117" cm="1">
        <f t="array" aca="1" ref="E26" ca="1">ROUND(INDIRECT($C$15&amp;"!"&amp;"D"&amp;TEXT(SUM(ROW(D26)-19),"#"))*($C$14),0)</f>
        <v>113</v>
      </c>
      <c r="F26" s="118">
        <f t="shared" ca="1" si="1"/>
        <v>10</v>
      </c>
      <c r="G26" s="117" cm="1">
        <f t="array" aca="1" ref="G26" ca="1">ROUND(INDIRECT($C$15&amp;"!"&amp;"E"&amp;TEXT(SUM(ROW(F26)-19),"#"))*($C$14),0)</f>
        <v>117</v>
      </c>
      <c r="H26" s="118">
        <f t="shared" ca="1" si="2"/>
        <v>11</v>
      </c>
      <c r="I26" s="117" cm="1">
        <f t="array" aca="1" ref="I26" ca="1">ROUND(INDIRECT($C$15&amp;"!"&amp;"F"&amp;TEXT(SUM(ROW(H26)-19),"#"))*($C$14),0)</f>
        <v>151</v>
      </c>
      <c r="J26" s="118">
        <f t="shared" ca="1" si="3"/>
        <v>14</v>
      </c>
      <c r="K26" s="117" cm="1">
        <f t="array" aca="1" ref="K26" ca="1">ROUND(INDIRECT($C$15&amp;"!"&amp;"G"&amp;TEXT(SUM(ROW(J26)-19),"#"))*($C$14),0)</f>
        <v>161</v>
      </c>
      <c r="L26" s="118">
        <f t="shared" ca="1" si="4"/>
        <v>14</v>
      </c>
      <c r="M26" s="117" cm="1">
        <f t="array" aca="1" ref="M26" ca="1">ROUND(INDIRECT($C$15&amp;"!"&amp;"H"&amp;TEXT(SUM(ROW(L26)-19),"#"))*($C$14),0)</f>
        <v>173</v>
      </c>
      <c r="N26" s="118">
        <f t="shared" ca="1" si="5"/>
        <v>15</v>
      </c>
      <c r="O26" s="117" cm="1">
        <f t="array" aca="1" ref="O26" ca="1">ROUND(INDIRECT($C$15&amp;"!"&amp;"I"&amp;TEXT(SUM(ROW(N26)-19),"#"))*($C$14),0)</f>
        <v>199</v>
      </c>
      <c r="P26" s="118">
        <f t="shared" ca="1" si="6"/>
        <v>18</v>
      </c>
    </row>
    <row r="27" spans="2:16" x14ac:dyDescent="0.2">
      <c r="B27" s="119">
        <v>1350</v>
      </c>
      <c r="C27" s="117" cm="1">
        <f t="array" aca="1" ref="C27" ca="1">ROUND(INDIRECT($C$15&amp;"!"&amp;"C"&amp;TEXT(SUM(ROW(B27)-19),"#"))*($C$14),0)</f>
        <v>102</v>
      </c>
      <c r="D27" s="118">
        <f t="shared" ca="1" si="0"/>
        <v>9</v>
      </c>
      <c r="E27" s="117" cm="1">
        <f t="array" aca="1" ref="E27" ca="1">ROUND(INDIRECT($C$15&amp;"!"&amp;"D"&amp;TEXT(SUM(ROW(D27)-19),"#"))*($C$14),0)</f>
        <v>126</v>
      </c>
      <c r="F27" s="118">
        <f t="shared" ca="1" si="1"/>
        <v>11</v>
      </c>
      <c r="G27" s="117" cm="1">
        <f t="array" aca="1" ref="G27" ca="1">ROUND(INDIRECT($C$15&amp;"!"&amp;"E"&amp;TEXT(SUM(ROW(F27)-19),"#"))*($C$14),0)</f>
        <v>130</v>
      </c>
      <c r="H27" s="118">
        <f t="shared" ca="1" si="2"/>
        <v>12</v>
      </c>
      <c r="I27" s="117" cm="1">
        <f t="array" aca="1" ref="I27" ca="1">ROUND(INDIRECT($C$15&amp;"!"&amp;"F"&amp;TEXT(SUM(ROW(H27)-19),"#"))*($C$14),0)</f>
        <v>168</v>
      </c>
      <c r="J27" s="118">
        <f t="shared" ca="1" si="3"/>
        <v>15</v>
      </c>
      <c r="K27" s="117" cm="1">
        <f t="array" aca="1" ref="K27" ca="1">ROUND(INDIRECT($C$15&amp;"!"&amp;"G"&amp;TEXT(SUM(ROW(J27)-19),"#"))*($C$14),0)</f>
        <v>179</v>
      </c>
      <c r="L27" s="118">
        <f t="shared" ca="1" si="4"/>
        <v>16</v>
      </c>
      <c r="M27" s="117" cm="1">
        <f t="array" aca="1" ref="M27" ca="1">ROUND(INDIRECT($C$15&amp;"!"&amp;"H"&amp;TEXT(SUM(ROW(L27)-19),"#"))*($C$14),0)</f>
        <v>193</v>
      </c>
      <c r="N27" s="118">
        <f t="shared" ca="1" si="5"/>
        <v>17</v>
      </c>
      <c r="O27" s="117" cm="1">
        <f t="array" aca="1" ref="O27" ca="1">ROUND(INDIRECT($C$15&amp;"!"&amp;"I"&amp;TEXT(SUM(ROW(N27)-19),"#"))*($C$14),0)</f>
        <v>221</v>
      </c>
      <c r="P27" s="118">
        <f t="shared" ca="1" si="6"/>
        <v>20</v>
      </c>
    </row>
    <row r="28" spans="2:16" x14ac:dyDescent="0.2">
      <c r="B28" s="119">
        <v>1550</v>
      </c>
      <c r="C28" s="117" cm="1">
        <f t="array" aca="1" ref="C28" ca="1">ROUND(INDIRECT($C$15&amp;"!"&amp;"C"&amp;TEXT(SUM(ROW(B28)-19),"#"))*($C$14),0)</f>
        <v>122</v>
      </c>
      <c r="D28" s="118">
        <f t="shared" ca="1" si="0"/>
        <v>11</v>
      </c>
      <c r="E28" s="117" cm="1">
        <f t="array" aca="1" ref="E28" ca="1">ROUND(INDIRECT($C$15&amp;"!"&amp;"D"&amp;TEXT(SUM(ROW(D28)-19),"#"))*($C$14),0)</f>
        <v>151</v>
      </c>
      <c r="F28" s="118">
        <f t="shared" ca="1" si="1"/>
        <v>14</v>
      </c>
      <c r="G28" s="117" cm="1">
        <f t="array" aca="1" ref="G28" ca="1">ROUND(INDIRECT($C$15&amp;"!"&amp;"E"&amp;TEXT(SUM(ROW(F28)-19),"#"))*($C$14),0)</f>
        <v>156</v>
      </c>
      <c r="H28" s="118">
        <f t="shared" ca="1" si="2"/>
        <v>14</v>
      </c>
      <c r="I28" s="117" cm="1">
        <f t="array" aca="1" ref="I28" ca="1">ROUND(INDIRECT($C$15&amp;"!"&amp;"F"&amp;TEXT(SUM(ROW(H28)-19),"#"))*($C$14),0)</f>
        <v>201</v>
      </c>
      <c r="J28" s="118">
        <f t="shared" ca="1" si="3"/>
        <v>18</v>
      </c>
      <c r="K28" s="117" cm="1">
        <f t="array" aca="1" ref="K28" ca="1">ROUND(INDIRECT($C$15&amp;"!"&amp;"G"&amp;TEXT(SUM(ROW(J28)-19),"#"))*($C$14),0)</f>
        <v>214</v>
      </c>
      <c r="L28" s="118">
        <f t="shared" ca="1" si="4"/>
        <v>19</v>
      </c>
      <c r="M28" s="117" cm="1">
        <f t="array" aca="1" ref="M28" ca="1">ROUND(INDIRECT($C$15&amp;"!"&amp;"H"&amp;TEXT(SUM(ROW(L28)-19),"#"))*($C$14),0)</f>
        <v>231</v>
      </c>
      <c r="N28" s="118">
        <f t="shared" ca="1" si="5"/>
        <v>20</v>
      </c>
      <c r="O28" s="117" cm="1">
        <f t="array" aca="1" ref="O28" ca="1">ROUND(INDIRECT($C$15&amp;"!"&amp;"I"&amp;TEXT(SUM(ROW(N28)-19),"#"))*($C$14),0)</f>
        <v>265</v>
      </c>
      <c r="P28" s="118">
        <f t="shared" ca="1" si="6"/>
        <v>23</v>
      </c>
    </row>
    <row r="29" spans="2:16" x14ac:dyDescent="0.2">
      <c r="B29" s="119">
        <v>1750</v>
      </c>
      <c r="C29" s="117" cm="1">
        <f t="array" aca="1" ref="C29" ca="1">ROUND(INDIRECT($C$15&amp;"!"&amp;"C"&amp;TEXT(SUM(ROW(B29)-19),"#"))*($C$14),0)</f>
        <v>142</v>
      </c>
      <c r="D29" s="118">
        <f t="shared" ca="1" si="0"/>
        <v>13</v>
      </c>
      <c r="E29" s="117" cm="1">
        <f t="array" aca="1" ref="E29" ca="1">ROUND(INDIRECT($C$15&amp;"!"&amp;"D"&amp;TEXT(SUM(ROW(D29)-19),"#"))*($C$14),0)</f>
        <v>176</v>
      </c>
      <c r="F29" s="118">
        <f t="shared" ca="1" si="1"/>
        <v>16</v>
      </c>
      <c r="G29" s="117" cm="1">
        <f t="array" aca="1" ref="G29" ca="1">ROUND(INDIRECT($C$15&amp;"!"&amp;"E"&amp;TEXT(SUM(ROW(F29)-19),"#"))*($C$14),0)</f>
        <v>182</v>
      </c>
      <c r="H29" s="118">
        <f t="shared" ca="1" si="2"/>
        <v>16</v>
      </c>
      <c r="I29" s="117" cm="1">
        <f t="array" aca="1" ref="I29" ca="1">ROUND(INDIRECT($C$15&amp;"!"&amp;"F"&amp;TEXT(SUM(ROW(H29)-19),"#"))*($C$14),0)</f>
        <v>235</v>
      </c>
      <c r="J29" s="118">
        <f t="shared" ca="1" si="3"/>
        <v>21</v>
      </c>
      <c r="K29" s="117" cm="1">
        <f t="array" aca="1" ref="K29" ca="1">ROUND(INDIRECT($C$15&amp;"!"&amp;"G"&amp;TEXT(SUM(ROW(J29)-19),"#"))*($C$14),0)</f>
        <v>251</v>
      </c>
      <c r="L29" s="118">
        <f t="shared" ca="1" si="4"/>
        <v>22</v>
      </c>
      <c r="M29" s="117" cm="1">
        <f t="array" aca="1" ref="M29" ca="1">ROUND(INDIRECT($C$15&amp;"!"&amp;"H"&amp;TEXT(SUM(ROW(L29)-19),"#"))*($C$14),0)</f>
        <v>270</v>
      </c>
      <c r="N29" s="118">
        <f t="shared" ca="1" si="5"/>
        <v>24</v>
      </c>
      <c r="O29" s="117" cm="1">
        <f t="array" aca="1" ref="O29" ca="1">ROUND(INDIRECT($C$15&amp;"!"&amp;"I"&amp;TEXT(SUM(ROW(N29)-19),"#"))*($C$14),0)</f>
        <v>310</v>
      </c>
      <c r="P29" s="118">
        <f t="shared" ca="1" si="6"/>
        <v>27</v>
      </c>
    </row>
    <row r="30" spans="2:16" x14ac:dyDescent="0.2">
      <c r="B30" s="119">
        <v>1950</v>
      </c>
      <c r="C30" s="117" cm="1">
        <f t="array" aca="1" ref="C30" ca="1">ROUND(INDIRECT($C$15&amp;"!"&amp;"C"&amp;TEXT(SUM(ROW(B30)-19),"#"))*($C$14),0)</f>
        <v>163</v>
      </c>
      <c r="D30" s="118">
        <f t="shared" ca="1" si="0"/>
        <v>15</v>
      </c>
      <c r="E30" s="117" cm="1">
        <f t="array" aca="1" ref="E30" ca="1">ROUND(INDIRECT($C$15&amp;"!"&amp;"D"&amp;TEXT(SUM(ROW(D30)-19),"#"))*($C$14),0)</f>
        <v>201</v>
      </c>
      <c r="F30" s="118">
        <f t="shared" ca="1" si="1"/>
        <v>18</v>
      </c>
      <c r="G30" s="117" cm="1">
        <f t="array" aca="1" ref="G30" ca="1">ROUND(INDIRECT($C$15&amp;"!"&amp;"E"&amp;TEXT(SUM(ROW(F30)-19),"#"))*($C$14),0)</f>
        <v>208</v>
      </c>
      <c r="H30" s="118">
        <f t="shared" ca="1" si="2"/>
        <v>18</v>
      </c>
      <c r="I30" s="117" cm="1">
        <f t="array" aca="1" ref="I30" ca="1">ROUND(INDIRECT($C$15&amp;"!"&amp;"F"&amp;TEXT(SUM(ROW(H30)-19),"#"))*($C$14),0)</f>
        <v>269</v>
      </c>
      <c r="J30" s="118">
        <f t="shared" ca="1" si="3"/>
        <v>24</v>
      </c>
      <c r="K30" s="117" cm="1">
        <f t="array" aca="1" ref="K30" ca="1">ROUND(INDIRECT($C$15&amp;"!"&amp;"G"&amp;TEXT(SUM(ROW(J30)-19),"#"))*($C$14),0)</f>
        <v>286</v>
      </c>
      <c r="L30" s="118">
        <f t="shared" ca="1" si="4"/>
        <v>25</v>
      </c>
      <c r="M30" s="117" cm="1">
        <f t="array" aca="1" ref="M30" ca="1">ROUND(INDIRECT($C$15&amp;"!"&amp;"H"&amp;TEXT(SUM(ROW(L30)-19),"#"))*($C$14),0)</f>
        <v>308</v>
      </c>
      <c r="N30" s="118">
        <f t="shared" ca="1" si="5"/>
        <v>27</v>
      </c>
      <c r="O30" s="117" cm="1">
        <f t="array" aca="1" ref="O30" ca="1">ROUND(INDIRECT($C$15&amp;"!"&amp;"I"&amp;TEXT(SUM(ROW(N30)-19),"#"))*($C$14),0)</f>
        <v>354</v>
      </c>
      <c r="P30" s="118">
        <f t="shared" ca="1" si="6"/>
        <v>31</v>
      </c>
    </row>
    <row r="31" spans="2:16" x14ac:dyDescent="0.2">
      <c r="B31" s="119">
        <v>2150</v>
      </c>
      <c r="C31" s="117" cm="1">
        <f t="array" aca="1" ref="C31" ca="1">ROUND(INDIRECT($C$15&amp;"!"&amp;"C"&amp;TEXT(SUM(ROW(B31)-19),"#"))*($C$14),0)</f>
        <v>183</v>
      </c>
      <c r="D31" s="118">
        <f t="shared" ca="1" si="0"/>
        <v>16</v>
      </c>
      <c r="E31" s="117" cm="1">
        <f t="array" aca="1" ref="E31" ca="1">ROUND(INDIRECT($C$15&amp;"!"&amp;"D"&amp;TEXT(SUM(ROW(D31)-19),"#"))*($C$14),0)</f>
        <v>227</v>
      </c>
      <c r="F31" s="118">
        <f t="shared" ca="1" si="1"/>
        <v>20</v>
      </c>
      <c r="G31" s="117" cm="1">
        <f t="array" aca="1" ref="G31" ca="1">ROUND(INDIRECT($C$15&amp;"!"&amp;"E"&amp;TEXT(SUM(ROW(F31)-19),"#"))*($C$14),0)</f>
        <v>234</v>
      </c>
      <c r="H31" s="118">
        <f t="shared" ca="1" si="2"/>
        <v>21</v>
      </c>
      <c r="I31" s="117" cm="1">
        <f t="array" aca="1" ref="I31" ca="1">ROUND(INDIRECT($C$15&amp;"!"&amp;"F"&amp;TEXT(SUM(ROW(H31)-19),"#"))*($C$14),0)</f>
        <v>302</v>
      </c>
      <c r="J31" s="118">
        <f t="shared" ca="1" si="3"/>
        <v>27</v>
      </c>
      <c r="K31" s="117" cm="1">
        <f t="array" aca="1" ref="K31" ca="1">ROUND(INDIRECT($C$15&amp;"!"&amp;"G"&amp;TEXT(SUM(ROW(J31)-19),"#"))*($C$14),0)</f>
        <v>322</v>
      </c>
      <c r="L31" s="118">
        <f t="shared" ca="1" si="4"/>
        <v>28</v>
      </c>
      <c r="M31" s="117" cm="1">
        <f t="array" aca="1" ref="M31" ca="1">ROUND(INDIRECT($C$15&amp;"!"&amp;"H"&amp;TEXT(SUM(ROW(L31)-19),"#"))*($C$14),0)</f>
        <v>347</v>
      </c>
      <c r="N31" s="118">
        <f t="shared" ca="1" si="5"/>
        <v>30</v>
      </c>
      <c r="O31" s="117" cm="1">
        <f t="array" aca="1" ref="O31" ca="1">ROUND(INDIRECT($C$15&amp;"!"&amp;"I"&amp;TEXT(SUM(ROW(N31)-19),"#"))*($C$14),0)</f>
        <v>398</v>
      </c>
      <c r="P31" s="118">
        <f t="shared" ca="1" si="6"/>
        <v>35</v>
      </c>
    </row>
    <row r="32" spans="2:16" x14ac:dyDescent="0.2">
      <c r="B32" s="119">
        <v>2350</v>
      </c>
      <c r="C32" s="117" cm="1">
        <f t="array" aca="1" ref="C32" ca="1">ROUND(INDIRECT($C$15&amp;"!"&amp;"C"&amp;TEXT(SUM(ROW(B32)-19),"#"))*($C$14),0)</f>
        <v>203</v>
      </c>
      <c r="D32" s="118">
        <f t="shared" ca="1" si="0"/>
        <v>18</v>
      </c>
      <c r="E32" s="117" cm="1">
        <f t="array" aca="1" ref="E32" ca="1">ROUND(INDIRECT($C$15&amp;"!"&amp;"D"&amp;TEXT(SUM(ROW(D32)-19),"#"))*($C$14),0)</f>
        <v>252</v>
      </c>
      <c r="F32" s="118">
        <f t="shared" ca="1" si="1"/>
        <v>22</v>
      </c>
      <c r="G32" s="117" cm="1">
        <f t="array" aca="1" ref="G32" ca="1">ROUND(INDIRECT($C$15&amp;"!"&amp;"E"&amp;TEXT(SUM(ROW(F32)-19),"#"))*($C$14),0)</f>
        <v>260</v>
      </c>
      <c r="H32" s="118">
        <f t="shared" ca="1" si="2"/>
        <v>23</v>
      </c>
      <c r="I32" s="117" cm="1">
        <f t="array" aca="1" ref="I32" ca="1">ROUND(INDIRECT($C$15&amp;"!"&amp;"F"&amp;TEXT(SUM(ROW(H32)-19),"#"))*($C$14),0)</f>
        <v>336</v>
      </c>
      <c r="J32" s="118">
        <f t="shared" ca="1" si="3"/>
        <v>29</v>
      </c>
      <c r="K32" s="117" cm="1">
        <f t="array" aca="1" ref="K32" ca="1">ROUND(INDIRECT($C$15&amp;"!"&amp;"G"&amp;TEXT(SUM(ROW(J32)-19),"#"))*($C$14),0)</f>
        <v>358</v>
      </c>
      <c r="L32" s="118">
        <f t="shared" ca="1" si="4"/>
        <v>31</v>
      </c>
      <c r="M32" s="117" cm="1">
        <f t="array" aca="1" ref="M32" ca="1">ROUND(INDIRECT($C$15&amp;"!"&amp;"H"&amp;TEXT(SUM(ROW(L32)-19),"#"))*($C$14),0)</f>
        <v>385</v>
      </c>
      <c r="N32" s="118">
        <f t="shared" ca="1" si="5"/>
        <v>34</v>
      </c>
      <c r="O32" s="117" cm="1">
        <f t="array" aca="1" ref="O32" ca="1">ROUND(INDIRECT($C$15&amp;"!"&amp;"I"&amp;TEXT(SUM(ROW(N32)-19),"#"))*($C$14),0)</f>
        <v>442</v>
      </c>
      <c r="P32" s="118">
        <f t="shared" ca="1" si="6"/>
        <v>39</v>
      </c>
    </row>
    <row r="33" spans="2:16" x14ac:dyDescent="0.2">
      <c r="B33" s="119">
        <v>2550</v>
      </c>
      <c r="C33" s="117" cm="1">
        <f t="array" aca="1" ref="C33" ca="1">ROUND(INDIRECT($C$15&amp;"!"&amp;"C"&amp;TEXT(SUM(ROW(B33)-19),"#"))*($C$14),0)</f>
        <v>224</v>
      </c>
      <c r="D33" s="118">
        <f t="shared" ca="1" si="0"/>
        <v>20</v>
      </c>
      <c r="E33" s="117" cm="1">
        <f t="array" aca="1" ref="E33" ca="1">ROUND(INDIRECT($C$15&amp;"!"&amp;"D"&amp;TEXT(SUM(ROW(D33)-19),"#"))*($C$14),0)</f>
        <v>277</v>
      </c>
      <c r="F33" s="118">
        <f t="shared" ca="1" si="1"/>
        <v>24</v>
      </c>
      <c r="G33" s="117" cm="1">
        <f t="array" aca="1" ref="G33" ca="1">ROUND(INDIRECT($C$15&amp;"!"&amp;"E"&amp;TEXT(SUM(ROW(F33)-19),"#"))*($C$14),0)</f>
        <v>286</v>
      </c>
      <c r="H33" s="118">
        <f t="shared" ca="1" si="2"/>
        <v>25</v>
      </c>
      <c r="I33" s="117" cm="1">
        <f t="array" aca="1" ref="I33" ca="1">ROUND(INDIRECT($C$15&amp;"!"&amp;"F"&amp;TEXT(SUM(ROW(H33)-19),"#"))*($C$14),0)</f>
        <v>369</v>
      </c>
      <c r="J33" s="118">
        <f t="shared" ca="1" si="3"/>
        <v>32</v>
      </c>
      <c r="K33" s="117" cm="1">
        <f t="array" aca="1" ref="K33" ca="1">ROUND(INDIRECT($C$15&amp;"!"&amp;"G"&amp;TEXT(SUM(ROW(J33)-19),"#"))*($C$14),0)</f>
        <v>393</v>
      </c>
      <c r="L33" s="118">
        <f t="shared" ca="1" si="4"/>
        <v>34</v>
      </c>
      <c r="M33" s="117" cm="1">
        <f t="array" aca="1" ref="M33" ca="1">ROUND(INDIRECT($C$15&amp;"!"&amp;"H"&amp;TEXT(SUM(ROW(L33)-19),"#"))*($C$14),0)</f>
        <v>424</v>
      </c>
      <c r="N33" s="118">
        <f t="shared" ca="1" si="5"/>
        <v>37</v>
      </c>
      <c r="O33" s="117" cm="1">
        <f t="array" aca="1" ref="O33" ca="1">ROUND(INDIRECT($C$15&amp;"!"&amp;"I"&amp;TEXT(SUM(ROW(N33)-19),"#"))*($C$14),0)</f>
        <v>486</v>
      </c>
      <c r="P33" s="118">
        <f t="shared" ca="1" si="6"/>
        <v>42</v>
      </c>
    </row>
    <row r="34" spans="2:16" x14ac:dyDescent="0.2">
      <c r="B34" s="119">
        <v>2750</v>
      </c>
      <c r="C34" s="117" cm="1">
        <f t="array" aca="1" ref="C34" ca="1">ROUND(INDIRECT($C$15&amp;"!"&amp;"C"&amp;TEXT(SUM(ROW(B34)-19),"#"))*($C$14),0)</f>
        <v>244</v>
      </c>
      <c r="D34" s="118">
        <f t="shared" ca="1" si="0"/>
        <v>22</v>
      </c>
      <c r="E34" s="117" cm="1">
        <f t="array" aca="1" ref="E34" ca="1">ROUND(INDIRECT($C$15&amp;"!"&amp;"D"&amp;TEXT(SUM(ROW(D34)-19),"#"))*($C$14),0)</f>
        <v>302</v>
      </c>
      <c r="F34" s="118">
        <f t="shared" ca="1" si="1"/>
        <v>27</v>
      </c>
      <c r="G34" s="117" cm="1">
        <f t="array" aca="1" ref="G34" ca="1">ROUND(INDIRECT($C$15&amp;"!"&amp;"E"&amp;TEXT(SUM(ROW(F34)-19),"#"))*($C$14),0)</f>
        <v>312</v>
      </c>
      <c r="H34" s="118">
        <f t="shared" ca="1" si="2"/>
        <v>27</v>
      </c>
      <c r="I34" s="117" cm="1">
        <f t="array" aca="1" ref="I34" ca="1">ROUND(INDIRECT($C$15&amp;"!"&amp;"F"&amp;TEXT(SUM(ROW(H34)-19),"#"))*($C$14),0)</f>
        <v>403</v>
      </c>
      <c r="J34" s="118">
        <f t="shared" ca="1" si="3"/>
        <v>35</v>
      </c>
      <c r="K34" s="117" cm="1">
        <f t="array" aca="1" ref="K34" ca="1">ROUND(INDIRECT($C$15&amp;"!"&amp;"G"&amp;TEXT(SUM(ROW(J34)-19),"#"))*($C$14),0)</f>
        <v>429</v>
      </c>
      <c r="L34" s="118">
        <f t="shared" ca="1" si="4"/>
        <v>37</v>
      </c>
      <c r="M34" s="117" cm="1">
        <f t="array" aca="1" ref="M34" ca="1">ROUND(INDIRECT($C$15&amp;"!"&amp;"H"&amp;TEXT(SUM(ROW(L34)-19),"#"))*($C$14),0)</f>
        <v>462</v>
      </c>
      <c r="N34" s="118">
        <f t="shared" ca="1" si="5"/>
        <v>40</v>
      </c>
      <c r="O34" s="117" cm="1">
        <f t="array" aca="1" ref="O34" ca="1">ROUND(INDIRECT($C$15&amp;"!"&amp;"I"&amp;TEXT(SUM(ROW(N34)-19),"#"))*($C$14),0)</f>
        <v>531</v>
      </c>
      <c r="P34" s="118">
        <f t="shared" ca="1" si="6"/>
        <v>46</v>
      </c>
    </row>
    <row r="35" spans="2:16" x14ac:dyDescent="0.2">
      <c r="B35" s="119">
        <v>2950</v>
      </c>
      <c r="C35" s="117" cm="1">
        <f t="array" aca="1" ref="C35" ca="1">ROUND(INDIRECT($C$15&amp;"!"&amp;"C"&amp;TEXT(SUM(ROW(B35)-19),"#"))*($C$14),0)</f>
        <v>264</v>
      </c>
      <c r="D35" s="118">
        <f t="shared" ca="1" si="0"/>
        <v>23</v>
      </c>
      <c r="E35" s="117" cm="1">
        <f t="array" aca="1" ref="E35" ca="1">ROUND(INDIRECT($C$15&amp;"!"&amp;"D"&amp;TEXT(SUM(ROW(D35)-19),"#"))*($C$14),0)</f>
        <v>327</v>
      </c>
      <c r="F35" s="118">
        <f t="shared" ca="1" si="1"/>
        <v>29</v>
      </c>
      <c r="G35" s="117" cm="1">
        <f t="array" aca="1" ref="G35" ca="1">ROUND(INDIRECT($C$15&amp;"!"&amp;"E"&amp;TEXT(SUM(ROW(F35)-19),"#"))*($C$14),0)</f>
        <v>338</v>
      </c>
      <c r="H35" s="118">
        <f t="shared" ca="1" si="2"/>
        <v>30</v>
      </c>
      <c r="I35" s="117" cm="1">
        <f t="array" aca="1" ref="I35" ca="1">ROUND(INDIRECT($C$15&amp;"!"&amp;"F"&amp;TEXT(SUM(ROW(H35)-19),"#"))*($C$14),0)</f>
        <v>436</v>
      </c>
      <c r="J35" s="118">
        <f t="shared" ca="1" si="3"/>
        <v>38</v>
      </c>
      <c r="K35" s="117" cm="1">
        <f t="array" aca="1" ref="K35" ca="1">ROUND(INDIRECT($C$15&amp;"!"&amp;"G"&amp;TEXT(SUM(ROW(J35)-19),"#"))*($C$14),0)</f>
        <v>465</v>
      </c>
      <c r="L35" s="118">
        <f t="shared" ca="1" si="4"/>
        <v>41</v>
      </c>
      <c r="M35" s="117" cm="1">
        <f t="array" aca="1" ref="M35" ca="1">ROUND(INDIRECT($C$15&amp;"!"&amp;"H"&amp;TEXT(SUM(ROW(L35)-19),"#"))*($C$14),0)</f>
        <v>501</v>
      </c>
      <c r="N35" s="118">
        <f t="shared" ca="1" si="5"/>
        <v>44</v>
      </c>
      <c r="O35" s="117" cm="1">
        <f t="array" aca="1" ref="O35" ca="1">ROUND(INDIRECT($C$15&amp;"!"&amp;"I"&amp;TEXT(SUM(ROW(N35)-19),"#"))*($C$14),0)</f>
        <v>575</v>
      </c>
      <c r="P35" s="118">
        <f t="shared" ca="1" si="6"/>
        <v>50</v>
      </c>
    </row>
    <row r="36" spans="2:16" x14ac:dyDescent="0.2">
      <c r="B36" s="119">
        <v>3150</v>
      </c>
      <c r="C36" s="117" cm="1">
        <f t="array" aca="1" ref="C36" ca="1">ROUND(INDIRECT($C$15&amp;"!"&amp;"C"&amp;TEXT(SUM(ROW(B36)-19),"#"))*($C$14),0)</f>
        <v>284</v>
      </c>
      <c r="D36" s="118">
        <f t="shared" ca="1" si="0"/>
        <v>25</v>
      </c>
      <c r="E36" s="117" cm="1">
        <f t="array" aca="1" ref="E36" ca="1">ROUND(INDIRECT($C$15&amp;"!"&amp;"D"&amp;TEXT(SUM(ROW(D36)-19),"#"))*($C$14),0)</f>
        <v>353</v>
      </c>
      <c r="F36" s="118">
        <f t="shared" ca="1" si="1"/>
        <v>31</v>
      </c>
      <c r="G36" s="117" cm="1">
        <f t="array" aca="1" ref="G36" ca="1">ROUND(INDIRECT($C$15&amp;"!"&amp;"E"&amp;TEXT(SUM(ROW(F36)-19),"#"))*($C$14),0)</f>
        <v>364</v>
      </c>
      <c r="H36" s="118">
        <f t="shared" ca="1" si="2"/>
        <v>32</v>
      </c>
      <c r="I36" s="117" cm="1">
        <f t="array" aca="1" ref="I36" ca="1">ROUND(INDIRECT($C$15&amp;"!"&amp;"F"&amp;TEXT(SUM(ROW(H36)-19),"#"))*($C$14),0)</f>
        <v>470</v>
      </c>
      <c r="J36" s="118">
        <f t="shared" ca="1" si="3"/>
        <v>41</v>
      </c>
      <c r="K36" s="117" cm="1">
        <f t="array" aca="1" ref="K36" ca="1">ROUND(INDIRECT($C$15&amp;"!"&amp;"G"&amp;TEXT(SUM(ROW(J36)-19),"#"))*($C$14),0)</f>
        <v>501</v>
      </c>
      <c r="L36" s="118">
        <f t="shared" ca="1" si="4"/>
        <v>44</v>
      </c>
      <c r="M36" s="117" cm="1">
        <f t="array" aca="1" ref="M36" ca="1">ROUND(INDIRECT($C$15&amp;"!"&amp;"H"&amp;TEXT(SUM(ROW(L36)-19),"#"))*($C$14),0)</f>
        <v>539</v>
      </c>
      <c r="N36" s="118">
        <f t="shared" ca="1" si="5"/>
        <v>47</v>
      </c>
      <c r="O36" s="117" cm="1">
        <f t="array" aca="1" ref="O36" ca="1">ROUND(INDIRECT($C$15&amp;"!"&amp;"I"&amp;TEXT(SUM(ROW(N36)-19),"#"))*($C$14),0)</f>
        <v>619</v>
      </c>
      <c r="P36" s="118">
        <f t="shared" ca="1" si="6"/>
        <v>54</v>
      </c>
    </row>
    <row r="37" spans="2:16" x14ac:dyDescent="0.2">
      <c r="B37" s="119">
        <v>3350</v>
      </c>
      <c r="C37" s="117" cm="1">
        <f t="array" aca="1" ref="C37" ca="1">ROUND(INDIRECT($C$15&amp;"!"&amp;"C"&amp;TEXT(SUM(ROW(B37)-19),"#"))*($C$14),0)</f>
        <v>305</v>
      </c>
      <c r="D37" s="118">
        <f t="shared" ca="1" si="0"/>
        <v>27</v>
      </c>
      <c r="E37" s="117" cm="1">
        <f t="array" aca="1" ref="E37" ca="1">ROUND(INDIRECT($C$15&amp;"!"&amp;"D"&amp;TEXT(SUM(ROW(D37)-19),"#"))*($C$14),0)</f>
        <v>378</v>
      </c>
      <c r="F37" s="118">
        <f t="shared" ca="1" si="1"/>
        <v>33</v>
      </c>
      <c r="G37" s="117" cm="1">
        <f t="array" aca="1" ref="G37" ca="1">ROUND(INDIRECT($C$15&amp;"!"&amp;"E"&amp;TEXT(SUM(ROW(F37)-19),"#"))*($C$14),0)</f>
        <v>390</v>
      </c>
      <c r="H37" s="118">
        <f t="shared" ca="1" si="2"/>
        <v>34</v>
      </c>
      <c r="I37" s="117" cm="1">
        <f t="array" aca="1" ref="I37" ca="1">ROUND(INDIRECT($C$15&amp;"!"&amp;"F"&amp;TEXT(SUM(ROW(H37)-19),"#"))*($C$14),0)</f>
        <v>503</v>
      </c>
      <c r="J37" s="118">
        <f t="shared" ca="1" si="3"/>
        <v>44</v>
      </c>
      <c r="K37" s="117" cm="1">
        <f t="array" aca="1" ref="K37" ca="1">ROUND(INDIRECT($C$15&amp;"!"&amp;"G"&amp;TEXT(SUM(ROW(J37)-19),"#"))*($C$14),0)</f>
        <v>536</v>
      </c>
      <c r="L37" s="118">
        <f t="shared" ca="1" si="4"/>
        <v>47</v>
      </c>
      <c r="M37" s="117" cm="1">
        <f t="array" aca="1" ref="M37" ca="1">ROUND(INDIRECT($C$15&amp;"!"&amp;"H"&amp;TEXT(SUM(ROW(L37)-19),"#"))*($C$14),0)</f>
        <v>578</v>
      </c>
      <c r="N37" s="118">
        <f t="shared" ca="1" si="5"/>
        <v>50</v>
      </c>
      <c r="O37" s="117" cm="1">
        <f t="array" aca="1" ref="O37" ca="1">ROUND(INDIRECT($C$15&amp;"!"&amp;"I"&amp;TEXT(SUM(ROW(N37)-19),"#"))*($C$14),0)</f>
        <v>663</v>
      </c>
      <c r="P37" s="118">
        <f t="shared" ca="1" si="6"/>
        <v>58</v>
      </c>
    </row>
    <row r="38" spans="2:16" x14ac:dyDescent="0.2">
      <c r="B38" s="119">
        <v>3550</v>
      </c>
      <c r="C38" s="117" cm="1">
        <f t="array" aca="1" ref="C38" ca="1">ROUND(INDIRECT($C$15&amp;"!"&amp;"C"&amp;TEXT(SUM(ROW(B38)-19),"#"))*($C$14),0)</f>
        <v>325</v>
      </c>
      <c r="D38" s="118">
        <f t="shared" ca="1" si="0"/>
        <v>28</v>
      </c>
      <c r="E38" s="117" cm="1">
        <f t="array" aca="1" ref="E38" ca="1">ROUND(INDIRECT($C$15&amp;"!"&amp;"D"&amp;TEXT(SUM(ROW(D38)-19),"#"))*($C$14),0)</f>
        <v>403</v>
      </c>
      <c r="F38" s="118">
        <f t="shared" ca="1" si="1"/>
        <v>35</v>
      </c>
      <c r="G38" s="117" cm="1">
        <f t="array" aca="1" ref="G38" ca="1">ROUND(INDIRECT($C$15&amp;"!"&amp;"E"&amp;TEXT(SUM(ROW(F38)-19),"#"))*($C$14),0)</f>
        <v>416</v>
      </c>
      <c r="H38" s="118">
        <f t="shared" ca="1" si="2"/>
        <v>36</v>
      </c>
      <c r="I38" s="117" cm="1">
        <f t="array" aca="1" ref="I38" ca="1">ROUND(INDIRECT($C$15&amp;"!"&amp;"F"&amp;TEXT(SUM(ROW(H38)-19),"#"))*($C$14),0)</f>
        <v>537</v>
      </c>
      <c r="J38" s="118">
        <f t="shared" ca="1" si="3"/>
        <v>47</v>
      </c>
      <c r="K38" s="117" cm="1">
        <f t="array" aca="1" ref="K38" ca="1">ROUND(INDIRECT($C$15&amp;"!"&amp;"G"&amp;TEXT(SUM(ROW(J38)-19),"#"))*($C$14),0)</f>
        <v>572</v>
      </c>
      <c r="L38" s="118">
        <f t="shared" ca="1" si="4"/>
        <v>50</v>
      </c>
      <c r="M38" s="117" cm="1">
        <f t="array" aca="1" ref="M38" ca="1">ROUND(INDIRECT($C$15&amp;"!"&amp;"H"&amp;TEXT(SUM(ROW(L38)-19),"#"))*($C$14),0)</f>
        <v>616</v>
      </c>
      <c r="N38" s="118">
        <f t="shared" ca="1" si="5"/>
        <v>54</v>
      </c>
      <c r="O38" s="117" cm="1">
        <f t="array" aca="1" ref="O38" ca="1">ROUND(INDIRECT($C$15&amp;"!"&amp;"I"&amp;TEXT(SUM(ROW(N38)-19),"#"))*($C$14),0)</f>
        <v>708</v>
      </c>
      <c r="P38" s="118">
        <f t="shared" ca="1" si="6"/>
        <v>61</v>
      </c>
    </row>
    <row r="39" spans="2:16" x14ac:dyDescent="0.2">
      <c r="B39" s="119">
        <v>3750</v>
      </c>
      <c r="C39" s="117" cm="1">
        <f t="array" aca="1" ref="C39" ca="1">ROUND(INDIRECT($C$15&amp;"!"&amp;"C"&amp;TEXT(SUM(ROW(B39)-19),"#"))*($C$14),0)</f>
        <v>345</v>
      </c>
      <c r="D39" s="118">
        <f t="shared" ca="1" si="0"/>
        <v>30</v>
      </c>
      <c r="E39" s="117" cm="1">
        <f t="array" aca="1" ref="E39" ca="1">ROUND(INDIRECT($C$15&amp;"!"&amp;"D"&amp;TEXT(SUM(ROW(D39)-19),"#"))*($C$14),0)</f>
        <v>429</v>
      </c>
      <c r="F39" s="118">
        <f t="shared" ca="1" si="1"/>
        <v>37</v>
      </c>
      <c r="G39" s="117" cm="1">
        <f t="array" aca="1" ref="G39" ca="1">ROUND(INDIRECT($C$15&amp;"!"&amp;"E"&amp;TEXT(SUM(ROW(F39)-19),"#"))*($C$14),0)</f>
        <v>442</v>
      </c>
      <c r="H39" s="118">
        <f t="shared" ca="1" si="2"/>
        <v>39</v>
      </c>
      <c r="I39" s="117" cm="1">
        <f t="array" aca="1" ref="I39" ca="1">ROUND(INDIRECT($C$15&amp;"!"&amp;"F"&amp;TEXT(SUM(ROW(H39)-19),"#"))*($C$14),0)</f>
        <v>570</v>
      </c>
      <c r="J39" s="118">
        <f t="shared" ca="1" si="3"/>
        <v>50</v>
      </c>
      <c r="K39" s="117" cm="1">
        <f t="array" aca="1" ref="K39" ca="1">ROUND(INDIRECT($C$15&amp;"!"&amp;"G"&amp;TEXT(SUM(ROW(J39)-19),"#"))*($C$14),0)</f>
        <v>608</v>
      </c>
      <c r="L39" s="118">
        <f t="shared" ca="1" si="4"/>
        <v>53</v>
      </c>
      <c r="M39" s="117" cm="1">
        <f t="array" aca="1" ref="M39" ca="1">ROUND(INDIRECT($C$15&amp;"!"&amp;"H"&amp;TEXT(SUM(ROW(L39)-19),"#"))*($C$14),0)</f>
        <v>655</v>
      </c>
      <c r="N39" s="118">
        <f t="shared" ca="1" si="5"/>
        <v>57</v>
      </c>
      <c r="O39" s="117" cm="1">
        <f t="array" aca="1" ref="O39" ca="1">ROUND(INDIRECT($C$15&amp;"!"&amp;"I"&amp;TEXT(SUM(ROW(N39)-19),"#"))*($C$14),0)</f>
        <v>752</v>
      </c>
      <c r="P39" s="118">
        <f t="shared" ca="1" si="6"/>
        <v>65</v>
      </c>
    </row>
    <row r="40" spans="2:16" x14ac:dyDescent="0.2">
      <c r="B40" s="119">
        <v>3950</v>
      </c>
      <c r="C40" s="117" cm="1">
        <f t="array" aca="1" ref="C40" ca="1">ROUND(INDIRECT($C$15&amp;"!"&amp;"C"&amp;TEXT(SUM(ROW(B40)-19),"#"))*($C$14),0)</f>
        <v>366</v>
      </c>
      <c r="D40" s="118">
        <f t="shared" ca="1" si="0"/>
        <v>32</v>
      </c>
      <c r="E40" s="117" cm="1">
        <f t="array" aca="1" ref="E40" ca="1">ROUND(INDIRECT($C$15&amp;"!"&amp;"D"&amp;TEXT(SUM(ROW(D40)-19),"#"))*($C$14),0)</f>
        <v>454</v>
      </c>
      <c r="F40" s="118">
        <f t="shared" ca="1" si="1"/>
        <v>40</v>
      </c>
      <c r="G40" s="117" cm="1">
        <f t="array" aca="1" ref="G40" ca="1">ROUND(INDIRECT($C$15&amp;"!"&amp;"E"&amp;TEXT(SUM(ROW(F40)-19),"#"))*($C$14),0)</f>
        <v>468</v>
      </c>
      <c r="H40" s="118">
        <f t="shared" ca="1" si="2"/>
        <v>41</v>
      </c>
      <c r="I40" s="117" cm="1">
        <f t="array" aca="1" ref="I40" ca="1">ROUND(INDIRECT($C$15&amp;"!"&amp;"F"&amp;TEXT(SUM(ROW(H40)-19),"#"))*($C$14),0)</f>
        <v>604</v>
      </c>
      <c r="J40" s="118">
        <f t="shared" ca="1" si="3"/>
        <v>53</v>
      </c>
      <c r="K40" s="117" cm="1">
        <f t="array" aca="1" ref="K40" ca="1">ROUND(INDIRECT($C$15&amp;"!"&amp;"G"&amp;TEXT(SUM(ROW(J40)-19),"#"))*($C$14),0)</f>
        <v>644</v>
      </c>
      <c r="L40" s="118">
        <f t="shared" ca="1" si="4"/>
        <v>56</v>
      </c>
      <c r="M40" s="117" cm="1">
        <f t="array" aca="1" ref="M40" ca="1">ROUND(INDIRECT($C$15&amp;"!"&amp;"H"&amp;TEXT(SUM(ROW(L40)-19),"#"))*($C$14),0)</f>
        <v>693</v>
      </c>
      <c r="N40" s="118">
        <f t="shared" ca="1" si="5"/>
        <v>60</v>
      </c>
      <c r="O40" s="117" cm="1">
        <f t="array" aca="1" ref="O40" ca="1">ROUND(INDIRECT($C$15&amp;"!"&amp;"I"&amp;TEXT(SUM(ROW(N40)-19),"#"))*($C$14),0)</f>
        <v>796</v>
      </c>
      <c r="P40" s="118">
        <f t="shared" ca="1" si="6"/>
        <v>69</v>
      </c>
    </row>
    <row r="41" spans="2:16" ht="4.5" customHeight="1" x14ac:dyDescent="0.2"/>
    <row r="42" spans="2:16" x14ac:dyDescent="0.2">
      <c r="B42" s="120" t="str">
        <f>VLOOKUP(36,TXT,$C$10,0)</f>
        <v>Angabe in Watt  pro Bodenkonvektor-Länge L [mm]</v>
      </c>
      <c r="P42" s="121" t="str">
        <f>VLOOKUP(16,TXT,$C$10,0)</f>
        <v>Wärmeleistungen in Anlehnung an EN 442-2</v>
      </c>
    </row>
    <row r="43" spans="2:16" x14ac:dyDescent="0.2">
      <c r="B43" s="120" t="str">
        <f>VLOOKUP(90,TXT,$C$10,0)</f>
        <v>Leistungsdaten mit Abdeckung, Rollrost Typ 941-17-B (f.Q. 70%)</v>
      </c>
    </row>
    <row r="44" spans="2:16" x14ac:dyDescent="0.2">
      <c r="B44" s="120" t="str">
        <f>VLOOKUP(96,TXT,$C$10,0)</f>
        <v>Bei abweichenden Abdeckungen, ist mit einer Leistungsminderung zu rechnen</v>
      </c>
    </row>
    <row r="45" spans="2:16" x14ac:dyDescent="0.2">
      <c r="B45" s="120" t="str">
        <f>VLOOKUP(59,TXT,$C$10,0)</f>
        <v>Bei Sonderkonstruktionen dient die Leistungstabelle als Richtwert</v>
      </c>
    </row>
    <row r="46" spans="2:16" x14ac:dyDescent="0.2">
      <c r="B46" s="120" t="str">
        <f>CONCATENATE("(*) ",VLOOKUP(29,TXT,$C$10,0))</f>
        <v>(*) Minimale Wassermassenströme von ca. 20 kg/h sollen eingehalten werden</v>
      </c>
    </row>
    <row r="47" spans="2:16" x14ac:dyDescent="0.2">
      <c r="B47" s="120" t="str">
        <f>CONCATENATE("(*) ",VLOOKUP(95,TXT,$C$10,0))</f>
        <v>(*) Massenstrom rechnerisch ermittelt, allfäliger Projektabgleich machen</v>
      </c>
      <c r="P47" s="122"/>
    </row>
    <row r="48" spans="2:16" x14ac:dyDescent="0.2">
      <c r="P48" s="122"/>
    </row>
    <row r="50" x14ac:dyDescent="0.2"/>
    <row r="81" s="101" customFormat="1" hidden="1" x14ac:dyDescent="0.2"/>
    <row r="82" s="101" customFormat="1" hidden="1" x14ac:dyDescent="0.2"/>
    <row r="83" s="101" customFormat="1" hidden="1" x14ac:dyDescent="0.2"/>
    <row r="84" s="101" customFormat="1" hidden="1" x14ac:dyDescent="0.2"/>
    <row r="85" s="101" customFormat="1" hidden="1" x14ac:dyDescent="0.2"/>
    <row r="86" s="101" customFormat="1" hidden="1" x14ac:dyDescent="0.2"/>
    <row r="87" s="101" customFormat="1" hidden="1" x14ac:dyDescent="0.2"/>
    <row r="88" s="101" customFormat="1" hidden="1" x14ac:dyDescent="0.2"/>
    <row r="89" s="101" customFormat="1" hidden="1" x14ac:dyDescent="0.2"/>
    <row r="90" s="101" customFormat="1" hidden="1" x14ac:dyDescent="0.2"/>
    <row r="91" s="101" customFormat="1" hidden="1" x14ac:dyDescent="0.2"/>
    <row r="92" s="101" customFormat="1" hidden="1" x14ac:dyDescent="0.2"/>
    <row r="93" s="101" customFormat="1" hidden="1" x14ac:dyDescent="0.2"/>
    <row r="94" s="101" customFormat="1" hidden="1" x14ac:dyDescent="0.2"/>
    <row r="95" s="101" customFormat="1" hidden="1" x14ac:dyDescent="0.2"/>
    <row r="96" s="101" customFormat="1" hidden="1" x14ac:dyDescent="0.2"/>
  </sheetData>
  <sheetProtection algorithmName="SHA-512" hashValue="irkz0kPlm53kGTRffq0alRmqcHiVbpm3HKvNIxTsuj0xLG1Gk8NlcJfZNG8K1RiGv0/rO1m2Wa1leZMAo4JEjg==" saltValue="n4mvMK9yQBFMYp1pann+UA==" spinCount="100000" sheet="1" objects="1" scenarios="1" selectLockedCells="1"/>
  <protectedRanges>
    <protectedRange sqref="O3:P5 G3:H4" name="Eingabe"/>
  </protectedRanges>
  <mergeCells count="13">
    <mergeCell ref="B18:P18"/>
    <mergeCell ref="G3:H3"/>
    <mergeCell ref="O3:P3"/>
    <mergeCell ref="G4:H4"/>
    <mergeCell ref="O4:P4"/>
    <mergeCell ref="O5:P5"/>
    <mergeCell ref="O19:P19"/>
    <mergeCell ref="C19:D19"/>
    <mergeCell ref="E19:F19"/>
    <mergeCell ref="G19:H19"/>
    <mergeCell ref="I19:J19"/>
    <mergeCell ref="K19:L19"/>
    <mergeCell ref="M19:N19"/>
  </mergeCells>
  <conditionalFormatting sqref="O3:O5">
    <cfRule type="expression" dxfId="239" priority="2">
      <formula>#REF!&lt;&gt;""</formula>
    </cfRule>
  </conditionalFormatting>
  <conditionalFormatting sqref="O3:P5">
    <cfRule type="expression" dxfId="238" priority="1">
      <formula>$P$17&lt;&gt;""</formula>
    </cfRule>
  </conditionalFormatting>
  <dataValidations count="5">
    <dataValidation type="whole" allowBlank="1" showInputMessage="1" showErrorMessage="1" sqref="O5" xr:uid="{7A36BF9F-7877-4273-9A7E-F29DBA5931F5}">
      <formula1>15</formula1>
      <formula2>29</formula2>
    </dataValidation>
    <dataValidation type="whole" allowBlank="1" showInputMessage="1" showErrorMessage="1" sqref="O4" xr:uid="{EE09113B-72A3-4CC4-B37B-86F0061F9F2C}">
      <formula1>25</formula1>
      <formula2>85</formula2>
    </dataValidation>
    <dataValidation type="whole" allowBlank="1" showInputMessage="1" showErrorMessage="1" sqref="O3" xr:uid="{FED0B3C5-B4DD-4FE9-8DE8-32AC8661B0C7}">
      <formula1>30</formula1>
      <formula2>90</formula2>
    </dataValidation>
    <dataValidation type="list" allowBlank="1" showInputMessage="1" showErrorMessage="1" sqref="G4" xr:uid="{17AAB37E-534A-4BD2-93BC-EFAED7C8DB6F}">
      <formula1>"90,120,150,200"</formula1>
    </dataValidation>
    <dataValidation type="list" allowBlank="1" showInputMessage="1" showErrorMessage="1" sqref="G3" xr:uid="{0F627C64-F1A7-47AA-B26D-7DA29F845CDB}">
      <formula1>"Deutsch,Français"</formula1>
    </dataValidation>
  </dataValidations>
  <pageMargins left="0.59055118110236227" right="0.39370078740157483" top="1.5748031496062993" bottom="0.78740157480314965" header="0.51181102362204722" footer="0.51181102362204722"/>
  <pageSetup paperSize="9" orientation="portrait" r:id="rId1"/>
  <headerFooter alignWithMargins="0">
    <oddHeader xml:space="preserve">&amp;C&amp;11&amp;G
</oddHeader>
    <oddFooter>&amp;C&amp;G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5"/>
  <sheetViews>
    <sheetView showGridLines="0" showRowColHeaders="0" workbookViewId="0">
      <selection activeCell="D3" sqref="D3:E3"/>
    </sheetView>
  </sheetViews>
  <sheetFormatPr baseColWidth="10" defaultColWidth="0" defaultRowHeight="15" zeroHeight="1" x14ac:dyDescent="0.25"/>
  <cols>
    <col min="1" max="1" width="3.28515625" customWidth="1"/>
    <col min="2" max="2" width="9.42578125" customWidth="1"/>
    <col min="3" max="3" width="6.28515625" customWidth="1"/>
    <col min="4" max="4" width="5" customWidth="1"/>
    <col min="5" max="5" width="7.28515625" customWidth="1"/>
    <col min="6" max="6" width="6.28515625" customWidth="1"/>
    <col min="7" max="7" width="7.28515625" customWidth="1"/>
    <col min="8" max="8" width="6.28515625" customWidth="1"/>
    <col min="9" max="9" width="7.28515625" customWidth="1"/>
    <col min="10" max="10" width="6.28515625" customWidth="1"/>
    <col min="11" max="11" width="7.28515625" customWidth="1"/>
    <col min="12" max="12" width="6.28515625" customWidth="1"/>
    <col min="13" max="13" width="7.28515625" customWidth="1"/>
    <col min="14" max="14" width="6.28515625" customWidth="1"/>
    <col min="15" max="15" width="5.28515625" customWidth="1"/>
    <col min="16" max="16" width="3.28515625" customWidth="1"/>
    <col min="17" max="16384" width="11.42578125" hidden="1"/>
  </cols>
  <sheetData>
    <row r="1" spans="2:15" x14ac:dyDescent="0.25"/>
    <row r="2" spans="2:15" x14ac:dyDescent="0.25">
      <c r="C2" s="416" t="s">
        <v>936</v>
      </c>
      <c r="D2" s="416"/>
      <c r="E2" s="417" t="s">
        <v>937</v>
      </c>
      <c r="F2" s="417"/>
      <c r="G2" s="413" t="s">
        <v>938</v>
      </c>
      <c r="H2" s="413"/>
    </row>
    <row r="3" spans="2:15" ht="23.25" x14ac:dyDescent="0.35">
      <c r="B3" s="286" t="s">
        <v>933</v>
      </c>
      <c r="C3" s="415">
        <v>50</v>
      </c>
      <c r="D3" s="415"/>
      <c r="E3" s="418">
        <v>16</v>
      </c>
      <c r="F3" s="418"/>
      <c r="G3" s="414">
        <v>2</v>
      </c>
      <c r="H3" s="414"/>
      <c r="J3" s="284" t="str">
        <f>IF(OR((C3-C4)&lt;3,(C4-C5)&lt;3,(C3-C4)&gt;25,C5&lt;15,ISERROR(F31)),"Bitte überprüfen Sie ihre Eingaben!","")</f>
        <v/>
      </c>
    </row>
    <row r="4" spans="2:15" ht="23.25" x14ac:dyDescent="0.35">
      <c r="B4" s="286" t="s">
        <v>934</v>
      </c>
      <c r="C4" s="415">
        <v>40</v>
      </c>
      <c r="D4" s="415"/>
      <c r="E4" s="418">
        <v>19</v>
      </c>
      <c r="F4" s="418"/>
      <c r="G4" s="414"/>
      <c r="H4" s="414"/>
      <c r="J4" s="284" t="str">
        <f>IF(ISERROR(F12),"Bitte überprüfen Sie ihre Eingaben!","")</f>
        <v/>
      </c>
    </row>
    <row r="5" spans="2:15" ht="23.25" x14ac:dyDescent="0.35">
      <c r="B5" s="286" t="s">
        <v>935</v>
      </c>
      <c r="C5" s="415">
        <v>20</v>
      </c>
      <c r="D5" s="415"/>
      <c r="E5" s="418">
        <v>27</v>
      </c>
      <c r="F5" s="418"/>
      <c r="G5" s="414"/>
      <c r="H5" s="414"/>
    </row>
    <row r="6" spans="2:15" x14ac:dyDescent="0.25"/>
    <row r="7" spans="2:15" ht="21" x14ac:dyDescent="0.35">
      <c r="B7" s="19" t="str">
        <f>VLOOKUP(1,TXT_K,$G$3,0)</f>
        <v>Kühlmedium  (PKW)</v>
      </c>
      <c r="C7" s="19"/>
      <c r="D7" s="19"/>
      <c r="E7" s="19"/>
      <c r="F7" s="20" t="str">
        <f>CONCATENATE(E3,"°C"," / ",E4,"°C")</f>
        <v>16°C / 19°C</v>
      </c>
      <c r="G7" s="20"/>
      <c r="H7" s="20"/>
      <c r="I7" s="20"/>
      <c r="J7" s="19"/>
      <c r="K7" s="19"/>
      <c r="L7" s="19"/>
      <c r="M7" s="21" t="str">
        <f>VLOOKUP(8,TXT_K,$G$3,0)</f>
        <v>Raumtemperatur</v>
      </c>
      <c r="N7" s="21"/>
      <c r="O7" s="22" t="str">
        <f>CONCATENATE("+",E5,"°C")</f>
        <v>+27°C</v>
      </c>
    </row>
    <row r="8" spans="2:15" s="74" customFormat="1" ht="12" x14ac:dyDescent="0.2"/>
    <row r="9" spans="2:15" s="74" customFormat="1" ht="12" x14ac:dyDescent="0.2">
      <c r="B9" s="74" t="str">
        <f>VLOOKUP(2,TXT_K,$G$3,0)</f>
        <v>Modell</v>
      </c>
      <c r="F9" s="422" t="str">
        <f>VLOOKUP(7,TXT_K,$G$3,0)</f>
        <v>Leistungsprozent</v>
      </c>
      <c r="G9" s="422"/>
      <c r="H9" s="422"/>
      <c r="I9" s="422"/>
      <c r="J9" s="422"/>
      <c r="K9" s="422"/>
      <c r="L9" s="422"/>
      <c r="M9" s="422"/>
      <c r="N9" s="422"/>
    </row>
    <row r="10" spans="2:15" ht="21" x14ac:dyDescent="0.35">
      <c r="B10" s="14" t="s">
        <v>942</v>
      </c>
      <c r="E10" s="72"/>
      <c r="F10" s="71">
        <v>0.3</v>
      </c>
      <c r="G10" s="3"/>
      <c r="H10" s="3">
        <v>0.4</v>
      </c>
      <c r="I10" s="2"/>
      <c r="J10" s="2">
        <v>0.5</v>
      </c>
      <c r="K10" s="1"/>
      <c r="L10" s="1">
        <v>0.6</v>
      </c>
      <c r="M10" s="4"/>
      <c r="N10" s="4">
        <v>1</v>
      </c>
      <c r="O10" s="6"/>
    </row>
    <row r="11" spans="2:15" s="74" customFormat="1" ht="28.5" customHeight="1" x14ac:dyDescent="0.2">
      <c r="B11" s="85" t="str">
        <f>VLOOKUP(3,TXT_K,$G$3,0)</f>
        <v>Wanne  Bk [mm]</v>
      </c>
      <c r="C11" s="85" t="str">
        <f>VLOOKUP(4,TXT_K,$G$3,0)</f>
        <v>Element He [mm]</v>
      </c>
      <c r="E11" s="421" t="str">
        <f>VLOOKUP(20,TXT_K,$G$3,0)</f>
        <v>Kühlleistung [W]</v>
      </c>
      <c r="F11" s="421"/>
      <c r="G11" s="421"/>
      <c r="H11" s="421"/>
      <c r="I11" s="421"/>
      <c r="J11" s="421"/>
      <c r="K11" s="421"/>
      <c r="L11" s="421"/>
      <c r="M11" s="421"/>
      <c r="N11" s="421"/>
      <c r="O11" s="66" t="s">
        <v>970</v>
      </c>
    </row>
    <row r="12" spans="2:15" x14ac:dyDescent="0.25">
      <c r="B12" s="423" t="s">
        <v>964</v>
      </c>
      <c r="C12" s="425" t="s">
        <v>991</v>
      </c>
      <c r="D12" s="63" t="s">
        <v>1005</v>
      </c>
      <c r="E12" s="67">
        <f>ROUND(F12/(($E$4-$E$3)*1.161),0)</f>
        <v>32</v>
      </c>
      <c r="F12" s="68">
        <f>ROUND(F$14*0.5,0)</f>
        <v>111</v>
      </c>
      <c r="G12" s="30">
        <f>ROUND(H12/(($E$4-$E$3)*1.161),0)</f>
        <v>47</v>
      </c>
      <c r="H12" s="48">
        <f>ROUND(H$14*0.5,0)</f>
        <v>162</v>
      </c>
      <c r="I12" s="32">
        <f>ROUND(J12/(($E$4-$E$3)*1.161),0)</f>
        <v>57</v>
      </c>
      <c r="J12" s="51">
        <f>ROUND(J$14*0.51,0)</f>
        <v>198</v>
      </c>
      <c r="K12" s="34">
        <f>ROUND(L12/(($E$4-$E$3)*1.161),0)</f>
        <v>67</v>
      </c>
      <c r="L12" s="55">
        <f>ROUND(L$14*0.51,0)</f>
        <v>232</v>
      </c>
      <c r="M12" s="36">
        <f>ROUND(N12/(($E$4-$E$3)*1.161),0)</f>
        <v>92</v>
      </c>
      <c r="N12" s="59">
        <f>ROUND(N$14*0.52,0)</f>
        <v>321</v>
      </c>
      <c r="O12" s="419" t="s">
        <v>971</v>
      </c>
    </row>
    <row r="13" spans="2:15" x14ac:dyDescent="0.25">
      <c r="B13" s="424"/>
      <c r="C13" s="426"/>
      <c r="D13" s="64" t="s">
        <v>1006</v>
      </c>
      <c r="E13" s="69"/>
      <c r="F13" s="70">
        <f>ROUND(F$15*0.5,0)</f>
        <v>111</v>
      </c>
      <c r="G13" s="31"/>
      <c r="H13" s="29">
        <f>ROUND(H$15*0.5,0)</f>
        <v>162</v>
      </c>
      <c r="I13" s="33"/>
      <c r="J13" s="52">
        <f>ROUND(J$15*0.51,0)</f>
        <v>198</v>
      </c>
      <c r="K13" s="35"/>
      <c r="L13" s="56">
        <f>ROUND(L$15*0.51,0)</f>
        <v>232</v>
      </c>
      <c r="M13" s="37"/>
      <c r="N13" s="60">
        <f>ROUND(N$15*0.52,0)</f>
        <v>321</v>
      </c>
      <c r="O13" s="420"/>
    </row>
    <row r="14" spans="2:15" x14ac:dyDescent="0.25">
      <c r="B14" s="423" t="s">
        <v>988</v>
      </c>
      <c r="C14" s="425" t="s">
        <v>992</v>
      </c>
      <c r="D14" s="63" t="s">
        <v>1005</v>
      </c>
      <c r="E14" s="67">
        <f>ROUND(F14/(($E$4-$E$3)*1.161),0)</f>
        <v>64</v>
      </c>
      <c r="F14" s="68">
        <f>VLOOKUP(CONCATENATE(E3,"-",E4,"-",E5),LEISTUNGEN_K,7,0)</f>
        <v>222</v>
      </c>
      <c r="G14" s="30">
        <f>ROUND(H14/(($E$4-$E$3)*1.161),0)</f>
        <v>93</v>
      </c>
      <c r="H14" s="48">
        <f>VLOOKUP(CONCATENATE(E3,"-",E4,"-",E5),LEISTUNGEN_K,6,0)</f>
        <v>324</v>
      </c>
      <c r="I14" s="32">
        <f>ROUND(J14/(($E$4-$E$3)*1.161),0)</f>
        <v>112</v>
      </c>
      <c r="J14" s="51">
        <f>VLOOKUP(CONCATENATE(E3,"-",E4,"-",E5),LEISTUNGEN_K,5,0)</f>
        <v>389</v>
      </c>
      <c r="K14" s="34">
        <f>ROUND(L14/(($E$4-$E$3)*1.161),0)</f>
        <v>130</v>
      </c>
      <c r="L14" s="55">
        <f>VLOOKUP(CONCATENATE(E3,"-",E4,"-",E5),LEISTUNGEN_K,4,0)</f>
        <v>454</v>
      </c>
      <c r="M14" s="36">
        <f>ROUND(N14/(($E$4-$E$3)*1.161),0)</f>
        <v>177</v>
      </c>
      <c r="N14" s="59">
        <f>VLOOKUP(CONCATENATE(E3,"-",E4,"-",E5),LEISTUNGEN_K,2,0)</f>
        <v>617</v>
      </c>
      <c r="O14" s="419" t="s">
        <v>972</v>
      </c>
    </row>
    <row r="15" spans="2:15" x14ac:dyDescent="0.25">
      <c r="B15" s="424"/>
      <c r="C15" s="426"/>
      <c r="D15" s="64" t="s">
        <v>1006</v>
      </c>
      <c r="E15" s="69"/>
      <c r="F15" s="70">
        <f>VLOOKUP(CONCATENATE(E3,"-",E4,"-",E5),LEISTUNGEN_K,14,0)</f>
        <v>222</v>
      </c>
      <c r="G15" s="31"/>
      <c r="H15" s="29">
        <f>VLOOKUP(CONCATENATE(E3,"-",E4,"-",E5),LEISTUNGEN_K,13,0)</f>
        <v>324</v>
      </c>
      <c r="I15" s="33"/>
      <c r="J15" s="52">
        <f>VLOOKUP(CONCATENATE(E3,"-",E4,"-",E5),LEISTUNGEN_K,12,0)</f>
        <v>389</v>
      </c>
      <c r="K15" s="35"/>
      <c r="L15" s="56">
        <f>VLOOKUP(CONCATENATE(E3,"-",E4,"-",E5),LEISTUNGEN_K,11,0)</f>
        <v>454</v>
      </c>
      <c r="M15" s="37"/>
      <c r="N15" s="60">
        <f>VLOOKUP(CONCATENATE(E3,"-",E4,"-",E5),LEISTUNGEN_K,9,0)</f>
        <v>617</v>
      </c>
      <c r="O15" s="420"/>
    </row>
    <row r="16" spans="2:15" x14ac:dyDescent="0.25">
      <c r="B16" s="423" t="s">
        <v>965</v>
      </c>
      <c r="C16" s="425" t="s">
        <v>993</v>
      </c>
      <c r="D16" s="63" t="s">
        <v>1005</v>
      </c>
      <c r="E16" s="67">
        <f>ROUND(F16/(($E$4-$E$3)*1.161),0)</f>
        <v>99</v>
      </c>
      <c r="F16" s="68">
        <f>ROUND(F$14*1.55,0)</f>
        <v>344</v>
      </c>
      <c r="G16" s="30">
        <f>ROUND(H16/(($E$4-$E$3)*1.161),0)</f>
        <v>144</v>
      </c>
      <c r="H16" s="48">
        <f>ROUND(H$14*1.55,0)</f>
        <v>502</v>
      </c>
      <c r="I16" s="32">
        <f>ROUND(J16/(($E$4-$E$3)*1.161),0)</f>
        <v>174</v>
      </c>
      <c r="J16" s="51">
        <f>ROUND(J$14*1.56,0)</f>
        <v>607</v>
      </c>
      <c r="K16" s="34">
        <f>ROUND(L16/(($E$4-$E$3)*1.161),0)</f>
        <v>203</v>
      </c>
      <c r="L16" s="55">
        <f>ROUND(L$14*1.56,0)</f>
        <v>708</v>
      </c>
      <c r="M16" s="36">
        <f>ROUND(N16/(($E$4-$E$3)*1.161),0)</f>
        <v>282</v>
      </c>
      <c r="N16" s="59">
        <f>ROUND(N$14*1.59,0)</f>
        <v>981</v>
      </c>
      <c r="O16" s="419" t="s">
        <v>973</v>
      </c>
    </row>
    <row r="17" spans="2:15" x14ac:dyDescent="0.25">
      <c r="B17" s="424"/>
      <c r="C17" s="426"/>
      <c r="D17" s="64" t="s">
        <v>1006</v>
      </c>
      <c r="E17" s="69"/>
      <c r="F17" s="70">
        <f>ROUND(F$15*1.55,0)</f>
        <v>344</v>
      </c>
      <c r="G17" s="31"/>
      <c r="H17" s="29">
        <f>ROUND(H$15*1.55,0)</f>
        <v>502</v>
      </c>
      <c r="I17" s="33"/>
      <c r="J17" s="52">
        <f>ROUND(J$15*1.56,0)</f>
        <v>607</v>
      </c>
      <c r="K17" s="35"/>
      <c r="L17" s="56">
        <f>ROUND(L$15*1.56,0)</f>
        <v>708</v>
      </c>
      <c r="M17" s="37"/>
      <c r="N17" s="60">
        <f>ROUND(N$15*1.59,0)</f>
        <v>981</v>
      </c>
      <c r="O17" s="420"/>
    </row>
    <row r="18" spans="2:15" x14ac:dyDescent="0.25">
      <c r="B18" s="423" t="s">
        <v>989</v>
      </c>
      <c r="C18" s="425" t="s">
        <v>994</v>
      </c>
      <c r="D18" s="63" t="s">
        <v>1005</v>
      </c>
      <c r="E18" s="67">
        <f>ROUND(F18/(($E$4-$E$3)*1.161),0)</f>
        <v>131</v>
      </c>
      <c r="F18" s="68">
        <f>ROUND(F$14*2.06,0)</f>
        <v>457</v>
      </c>
      <c r="G18" s="30">
        <f>ROUND(H18/(($E$4-$E$3)*1.161),0)</f>
        <v>192</v>
      </c>
      <c r="H18" s="48">
        <f>ROUND(H$14*2.06,0)</f>
        <v>667</v>
      </c>
      <c r="I18" s="32">
        <f>ROUND(J18/(($E$4-$E$3)*1.161),0)</f>
        <v>232</v>
      </c>
      <c r="J18" s="51">
        <f>ROUND(J$14*2.08,0)</f>
        <v>809</v>
      </c>
      <c r="K18" s="34">
        <f>ROUND(L18/(($E$4-$E$3)*1.161),0)</f>
        <v>271</v>
      </c>
      <c r="L18" s="55">
        <f>ROUND(L$14*2.08,0)</f>
        <v>944</v>
      </c>
      <c r="M18" s="36">
        <f>ROUND(N18/(($E$4-$E$3)*1.161),0)</f>
        <v>374</v>
      </c>
      <c r="N18" s="59">
        <f>ROUND(N$14*2.11,0)</f>
        <v>1302</v>
      </c>
      <c r="O18" s="419" t="s">
        <v>974</v>
      </c>
    </row>
    <row r="19" spans="2:15" x14ac:dyDescent="0.25">
      <c r="B19" s="424"/>
      <c r="C19" s="426"/>
      <c r="D19" s="64" t="s">
        <v>1006</v>
      </c>
      <c r="E19" s="69"/>
      <c r="F19" s="70">
        <f>ROUND(F$15*2.06,0)</f>
        <v>457</v>
      </c>
      <c r="G19" s="31"/>
      <c r="H19" s="29">
        <f>ROUND(H$15*2.06,0)</f>
        <v>667</v>
      </c>
      <c r="I19" s="33"/>
      <c r="J19" s="52">
        <f>ROUND(J$15*2.08,0)</f>
        <v>809</v>
      </c>
      <c r="K19" s="35"/>
      <c r="L19" s="56">
        <f>ROUND(L$15*2.08,0)</f>
        <v>944</v>
      </c>
      <c r="M19" s="37"/>
      <c r="N19" s="60">
        <f>ROUND(N$15*2.11,0)</f>
        <v>1302</v>
      </c>
      <c r="O19" s="420"/>
    </row>
    <row r="20" spans="2:15" x14ac:dyDescent="0.25">
      <c r="B20" s="423" t="s">
        <v>966</v>
      </c>
      <c r="C20" s="425" t="s">
        <v>995</v>
      </c>
      <c r="D20" s="63" t="s">
        <v>1005</v>
      </c>
      <c r="E20" s="67">
        <f>ROUND(F20/(($E$4-$E$3)*1.161),0)</f>
        <v>166</v>
      </c>
      <c r="F20" s="68">
        <f>ROUND(F$14*2.6,0)</f>
        <v>577</v>
      </c>
      <c r="G20" s="30">
        <f>ROUND(H20/(($E$4-$E$3)*1.161),0)</f>
        <v>242</v>
      </c>
      <c r="H20" s="48">
        <f>ROUND(H$14*2.6,0)</f>
        <v>842</v>
      </c>
      <c r="I20" s="32">
        <f>ROUND(J20/(($E$4-$E$3)*1.161),0)</f>
        <v>296</v>
      </c>
      <c r="J20" s="51">
        <f>ROUND(J$14*2.65,0)</f>
        <v>1031</v>
      </c>
      <c r="K20" s="34">
        <f>ROUND(L20/(($E$4-$E$3)*1.161),0)</f>
        <v>345</v>
      </c>
      <c r="L20" s="55">
        <f>ROUND(L$14*2.65,0)</f>
        <v>1203</v>
      </c>
      <c r="M20" s="36">
        <f>ROUND(N20/(($E$4-$E$3)*1.161),0)</f>
        <v>478</v>
      </c>
      <c r="N20" s="59">
        <f>ROUND(N$14*2.7,0)</f>
        <v>1666</v>
      </c>
      <c r="O20" s="419" t="s">
        <v>975</v>
      </c>
    </row>
    <row r="21" spans="2:15" x14ac:dyDescent="0.25">
      <c r="B21" s="424"/>
      <c r="C21" s="426"/>
      <c r="D21" s="64" t="s">
        <v>1006</v>
      </c>
      <c r="E21" s="69"/>
      <c r="F21" s="70">
        <f>ROUND(F$15*2.6,0)</f>
        <v>577</v>
      </c>
      <c r="G21" s="31"/>
      <c r="H21" s="29">
        <f>ROUND(H$15*2.6,0)</f>
        <v>842</v>
      </c>
      <c r="I21" s="33"/>
      <c r="J21" s="52">
        <f>ROUND(J$15*2.65,0)</f>
        <v>1031</v>
      </c>
      <c r="K21" s="35"/>
      <c r="L21" s="56">
        <f t="shared" ref="L21" si="0">ROUND(L$15*2.65,0)</f>
        <v>1203</v>
      </c>
      <c r="M21" s="37"/>
      <c r="N21" s="60">
        <f>ROUND(N$15*2.7,0)</f>
        <v>1666</v>
      </c>
      <c r="O21" s="420"/>
    </row>
    <row r="22" spans="2:15" x14ac:dyDescent="0.25">
      <c r="B22" s="423" t="s">
        <v>990</v>
      </c>
      <c r="C22" s="425" t="s">
        <v>996</v>
      </c>
      <c r="D22" s="63" t="s">
        <v>1005</v>
      </c>
      <c r="E22" s="67">
        <f>ROUND(F22/(($E$4-$E$3)*1.161),0)</f>
        <v>198</v>
      </c>
      <c r="F22" s="68">
        <f>ROUND(F$14*3.1,0)</f>
        <v>688</v>
      </c>
      <c r="G22" s="30">
        <f>ROUND(H22/(($E$4-$E$3)*1.161),0)</f>
        <v>288</v>
      </c>
      <c r="H22" s="48">
        <f>ROUND(H$14*3.1,0)</f>
        <v>1004</v>
      </c>
      <c r="I22" s="32">
        <f>ROUND(J22/(($E$4-$E$3)*1.161),0)</f>
        <v>350</v>
      </c>
      <c r="J22" s="51">
        <f>ROUND(J$14*3.13,0)</f>
        <v>1218</v>
      </c>
      <c r="K22" s="34">
        <f>ROUND(L22/(($E$4-$E$3)*1.161),0)</f>
        <v>408</v>
      </c>
      <c r="L22" s="55">
        <f>ROUND(L$14*3.13,0)</f>
        <v>1421</v>
      </c>
      <c r="M22" s="36">
        <f>ROUND(N22/(($E$4-$E$3)*1.161),0)</f>
        <v>563</v>
      </c>
      <c r="N22" s="59">
        <f>ROUND(N$14*3.18,0)</f>
        <v>1962</v>
      </c>
      <c r="O22" s="419" t="s">
        <v>976</v>
      </c>
    </row>
    <row r="23" spans="2:15" x14ac:dyDescent="0.25">
      <c r="B23" s="424"/>
      <c r="C23" s="426"/>
      <c r="D23" s="64" t="s">
        <v>1006</v>
      </c>
      <c r="E23" s="69"/>
      <c r="F23" s="70">
        <f>ROUND(F$15*3.1,0)</f>
        <v>688</v>
      </c>
      <c r="G23" s="31"/>
      <c r="H23" s="29">
        <f>ROUND(H$15*3.1,0)</f>
        <v>1004</v>
      </c>
      <c r="I23" s="33"/>
      <c r="J23" s="52">
        <f>ROUND(J$15*3.13,0)</f>
        <v>1218</v>
      </c>
      <c r="K23" s="35"/>
      <c r="L23" s="56">
        <f t="shared" ref="L23" si="1">ROUND(L$15*3.13,0)</f>
        <v>1421</v>
      </c>
      <c r="M23" s="37"/>
      <c r="N23" s="60">
        <f>ROUND(N$15*3.18,0)</f>
        <v>1962</v>
      </c>
      <c r="O23" s="420"/>
    </row>
    <row r="24" spans="2:15" x14ac:dyDescent="0.25">
      <c r="O24" s="94" t="str">
        <f>VLOOKUP(23,TXT_K,$G$3,0)</f>
        <v>Leistung nach DIN EN 16430</v>
      </c>
    </row>
    <row r="25" spans="2:15" x14ac:dyDescent="0.25"/>
    <row r="26" spans="2:15" ht="21" x14ac:dyDescent="0.35">
      <c r="B26" s="15" t="str">
        <f>VLOOKUP(22,TXT_K,$G$3,0)</f>
        <v>Heizmedium  (PWW)</v>
      </c>
      <c r="C26" s="15"/>
      <c r="D26" s="15"/>
      <c r="E26" s="15"/>
      <c r="F26" s="16" t="str">
        <f>CONCATENATE(C3,"°C"," / ",C4,"°C")</f>
        <v>50°C / 40°C</v>
      </c>
      <c r="G26" s="16"/>
      <c r="H26" s="16"/>
      <c r="I26" s="16"/>
      <c r="J26" s="15"/>
      <c r="K26" s="15"/>
      <c r="L26" s="15"/>
      <c r="M26" s="17" t="str">
        <f>VLOOKUP(8,TXT_K,$G$3,0)</f>
        <v>Raumtemperatur</v>
      </c>
      <c r="N26" s="17"/>
      <c r="O26" s="18" t="str">
        <f>CONCATENATE("+",C5,"°C")</f>
        <v>+20°C</v>
      </c>
    </row>
    <row r="27" spans="2:15" s="74" customFormat="1" ht="12" x14ac:dyDescent="0.2"/>
    <row r="28" spans="2:15" s="74" customFormat="1" ht="12" x14ac:dyDescent="0.2">
      <c r="B28" s="74" t="str">
        <f>VLOOKUP(2,TXT_K,$G$3,0)</f>
        <v>Modell</v>
      </c>
      <c r="F28" s="422" t="str">
        <f>VLOOKUP(7,TXT_K,$G$3,0)</f>
        <v>Leistungsprozent</v>
      </c>
      <c r="G28" s="422"/>
      <c r="H28" s="422"/>
      <c r="I28" s="422"/>
      <c r="J28" s="422"/>
      <c r="K28" s="422"/>
      <c r="L28" s="422"/>
      <c r="M28" s="422"/>
      <c r="N28" s="422"/>
    </row>
    <row r="29" spans="2:15" ht="21" x14ac:dyDescent="0.35">
      <c r="B29" s="7" t="s">
        <v>942</v>
      </c>
      <c r="E29" s="77"/>
      <c r="F29" s="78">
        <v>0.3</v>
      </c>
      <c r="G29" s="11"/>
      <c r="H29" s="11">
        <v>0.4</v>
      </c>
      <c r="I29" s="8"/>
      <c r="J29" s="8">
        <v>0.5</v>
      </c>
      <c r="K29" s="9"/>
      <c r="L29" s="9">
        <v>0.6</v>
      </c>
      <c r="M29" s="10"/>
      <c r="N29" s="10">
        <v>1</v>
      </c>
      <c r="O29" s="6"/>
    </row>
    <row r="30" spans="2:15" s="74" customFormat="1" ht="28.5" customHeight="1" x14ac:dyDescent="0.2">
      <c r="B30" s="85" t="str">
        <f>VLOOKUP(3,TXT_K,$G$3,0)</f>
        <v>Wanne  Bk [mm]</v>
      </c>
      <c r="C30" s="85" t="str">
        <f>VLOOKUP(4,TXT_K,$G$3,0)</f>
        <v>Element He [mm]</v>
      </c>
      <c r="E30" s="421" t="str">
        <f>VLOOKUP(21,TXT_K,$G$3,0)</f>
        <v>Heizleistung [W]</v>
      </c>
      <c r="F30" s="421"/>
      <c r="G30" s="421"/>
      <c r="H30" s="421"/>
      <c r="I30" s="421"/>
      <c r="J30" s="421"/>
      <c r="K30" s="421"/>
      <c r="L30" s="421"/>
      <c r="M30" s="421"/>
      <c r="N30" s="421"/>
      <c r="O30" s="66" t="s">
        <v>970</v>
      </c>
    </row>
    <row r="31" spans="2:15" x14ac:dyDescent="0.25">
      <c r="B31" s="12" t="s">
        <v>964</v>
      </c>
      <c r="C31" s="46" t="s">
        <v>991</v>
      </c>
      <c r="D31" s="63" t="s">
        <v>1005</v>
      </c>
      <c r="E31" s="79">
        <f t="shared" ref="E31:G36" si="2">ROUND(F31/(($C$3-$C$4)*1.161),0)</f>
        <v>36</v>
      </c>
      <c r="F31" s="80">
        <f>ROUND(F32*0.5,0)</f>
        <v>419</v>
      </c>
      <c r="G31" s="38">
        <f t="shared" si="2"/>
        <v>48</v>
      </c>
      <c r="H31" s="49">
        <f>ROUND(H32*0.5,0)</f>
        <v>563</v>
      </c>
      <c r="I31" s="40">
        <f t="shared" ref="I31:I36" si="3">ROUND(J31/(($C$3-$C$4)*1.161),0)</f>
        <v>56</v>
      </c>
      <c r="J31" s="53">
        <f>ROUND(J32*0.5,0)</f>
        <v>652</v>
      </c>
      <c r="K31" s="42">
        <f t="shared" ref="K31:K36" si="4">ROUND(L31/(($C$3-$C$4)*1.161),0)</f>
        <v>64</v>
      </c>
      <c r="L31" s="57">
        <f t="shared" ref="L31:N31" si="5">ROUND(L32*0.5,0)</f>
        <v>741</v>
      </c>
      <c r="M31" s="44">
        <f t="shared" ref="M31:M36" si="6">ROUND(N31/(($C$3-$C$4)*1.161),0)</f>
        <v>81</v>
      </c>
      <c r="N31" s="61">
        <f t="shared" si="5"/>
        <v>939</v>
      </c>
      <c r="O31" s="23" t="s">
        <v>971</v>
      </c>
    </row>
    <row r="32" spans="2:15" x14ac:dyDescent="0.25">
      <c r="B32" s="12" t="s">
        <v>988</v>
      </c>
      <c r="C32" s="46" t="s">
        <v>992</v>
      </c>
      <c r="D32" s="63" t="s">
        <v>1005</v>
      </c>
      <c r="E32" s="79">
        <f t="shared" si="2"/>
        <v>72</v>
      </c>
      <c r="F32" s="80">
        <f>ROUND(SUM('BASE-HEIZ'!G3)*VLOOKUP(((C3+C4)/2)-C5,FAKTOR_K,2,0),0)</f>
        <v>838</v>
      </c>
      <c r="G32" s="38">
        <f t="shared" si="2"/>
        <v>97</v>
      </c>
      <c r="H32" s="49">
        <f>ROUND(SUM('BASE-HEIZ'!F3)*VLOOKUP(((C3+C4)/2)-C5,FAKTOR_K,2,0),0)</f>
        <v>1125</v>
      </c>
      <c r="I32" s="40">
        <f t="shared" si="3"/>
        <v>112</v>
      </c>
      <c r="J32" s="53">
        <f>ROUND(SUM('BASE-HEIZ'!E3)*VLOOKUP(((C3+C4)/2)-C5,FAKTOR_K,2,0),0)</f>
        <v>1303</v>
      </c>
      <c r="K32" s="42">
        <f t="shared" si="4"/>
        <v>128</v>
      </c>
      <c r="L32" s="57">
        <f>ROUND(SUM('BASE-HEIZ'!D3)*VLOOKUP(((C3+C4)/2)-C5,FAKTOR_K,2,0),0)</f>
        <v>1481</v>
      </c>
      <c r="M32" s="44">
        <f t="shared" si="6"/>
        <v>162</v>
      </c>
      <c r="N32" s="61">
        <f>ROUND(SUM('BASE-HEIZ'!B3)*VLOOKUP(((C3+C4)/2)-C5,FAKTOR_K,2,0),0)</f>
        <v>1878</v>
      </c>
      <c r="O32" s="24" t="s">
        <v>972</v>
      </c>
    </row>
    <row r="33" spans="2:15" x14ac:dyDescent="0.25">
      <c r="B33" s="12" t="s">
        <v>965</v>
      </c>
      <c r="C33" s="46" t="s">
        <v>993</v>
      </c>
      <c r="D33" s="63" t="s">
        <v>1005</v>
      </c>
      <c r="E33" s="79">
        <f t="shared" si="2"/>
        <v>108</v>
      </c>
      <c r="F33" s="80">
        <f>ROUND(F32*1.5,0)</f>
        <v>1257</v>
      </c>
      <c r="G33" s="38">
        <f t="shared" si="2"/>
        <v>145</v>
      </c>
      <c r="H33" s="49">
        <f>ROUND(H32*1.5,0)</f>
        <v>1688</v>
      </c>
      <c r="I33" s="40">
        <f t="shared" si="3"/>
        <v>168</v>
      </c>
      <c r="J33" s="53">
        <f t="shared" ref="J33:N33" si="7">ROUND(J32*1.5,0)</f>
        <v>1955</v>
      </c>
      <c r="K33" s="42">
        <f t="shared" si="4"/>
        <v>191</v>
      </c>
      <c r="L33" s="57">
        <f t="shared" si="7"/>
        <v>2222</v>
      </c>
      <c r="M33" s="44">
        <f t="shared" si="6"/>
        <v>243</v>
      </c>
      <c r="N33" s="61">
        <f t="shared" si="7"/>
        <v>2817</v>
      </c>
      <c r="O33" s="23" t="s">
        <v>973</v>
      </c>
    </row>
    <row r="34" spans="2:15" x14ac:dyDescent="0.25">
      <c r="B34" s="12" t="s">
        <v>989</v>
      </c>
      <c r="C34" s="46" t="s">
        <v>994</v>
      </c>
      <c r="D34" s="63" t="s">
        <v>1005</v>
      </c>
      <c r="E34" s="79">
        <f t="shared" si="2"/>
        <v>144</v>
      </c>
      <c r="F34" s="80">
        <f>ROUND(F32*2,0)</f>
        <v>1676</v>
      </c>
      <c r="G34" s="38">
        <f t="shared" si="2"/>
        <v>194</v>
      </c>
      <c r="H34" s="49">
        <f>ROUND(H32*2,0)</f>
        <v>2250</v>
      </c>
      <c r="I34" s="40">
        <f t="shared" si="3"/>
        <v>224</v>
      </c>
      <c r="J34" s="53">
        <f t="shared" ref="J34:N34" si="8">ROUND(J32*2,0)</f>
        <v>2606</v>
      </c>
      <c r="K34" s="42">
        <f t="shared" si="4"/>
        <v>255</v>
      </c>
      <c r="L34" s="57">
        <f t="shared" si="8"/>
        <v>2962</v>
      </c>
      <c r="M34" s="44">
        <f t="shared" si="6"/>
        <v>324</v>
      </c>
      <c r="N34" s="61">
        <f t="shared" si="8"/>
        <v>3756</v>
      </c>
      <c r="O34" s="23" t="s">
        <v>974</v>
      </c>
    </row>
    <row r="35" spans="2:15" x14ac:dyDescent="0.25">
      <c r="B35" s="12" t="s">
        <v>966</v>
      </c>
      <c r="C35" s="46" t="s">
        <v>995</v>
      </c>
      <c r="D35" s="63" t="s">
        <v>1005</v>
      </c>
      <c r="E35" s="79">
        <f t="shared" si="2"/>
        <v>180</v>
      </c>
      <c r="F35" s="80">
        <f>ROUND(F32*2.5,0)</f>
        <v>2095</v>
      </c>
      <c r="G35" s="38">
        <f t="shared" si="2"/>
        <v>242</v>
      </c>
      <c r="H35" s="49">
        <f>ROUND(H32*2.5,0)</f>
        <v>2813</v>
      </c>
      <c r="I35" s="40">
        <f t="shared" si="3"/>
        <v>281</v>
      </c>
      <c r="J35" s="53">
        <f t="shared" ref="J35:N35" si="9">ROUND(J32*2.5,0)</f>
        <v>3258</v>
      </c>
      <c r="K35" s="42">
        <f t="shared" si="4"/>
        <v>319</v>
      </c>
      <c r="L35" s="57">
        <f t="shared" si="9"/>
        <v>3703</v>
      </c>
      <c r="M35" s="44">
        <f t="shared" si="6"/>
        <v>404</v>
      </c>
      <c r="N35" s="61">
        <f t="shared" si="9"/>
        <v>4695</v>
      </c>
      <c r="O35" s="23" t="s">
        <v>975</v>
      </c>
    </row>
    <row r="36" spans="2:15" x14ac:dyDescent="0.25">
      <c r="B36" s="13" t="s">
        <v>990</v>
      </c>
      <c r="C36" s="47" t="s">
        <v>996</v>
      </c>
      <c r="D36" s="65" t="s">
        <v>1005</v>
      </c>
      <c r="E36" s="81">
        <f t="shared" si="2"/>
        <v>217</v>
      </c>
      <c r="F36" s="82">
        <f>ROUND(F32*3,0)</f>
        <v>2514</v>
      </c>
      <c r="G36" s="39">
        <f t="shared" si="2"/>
        <v>291</v>
      </c>
      <c r="H36" s="50">
        <f>ROUND(H32*3,0)</f>
        <v>3375</v>
      </c>
      <c r="I36" s="41">
        <f t="shared" si="3"/>
        <v>337</v>
      </c>
      <c r="J36" s="54">
        <f t="shared" ref="J36:N36" si="10">ROUND(J32*3,0)</f>
        <v>3909</v>
      </c>
      <c r="K36" s="43">
        <f t="shared" si="4"/>
        <v>383</v>
      </c>
      <c r="L36" s="58">
        <f t="shared" si="10"/>
        <v>4443</v>
      </c>
      <c r="M36" s="45">
        <f t="shared" si="6"/>
        <v>485</v>
      </c>
      <c r="N36" s="62">
        <f t="shared" si="10"/>
        <v>5634</v>
      </c>
      <c r="O36" s="25" t="s">
        <v>976</v>
      </c>
    </row>
    <row r="37" spans="2:15" s="74" customFormat="1" ht="12" x14ac:dyDescent="0.2">
      <c r="B37" s="90"/>
      <c r="C37" s="91"/>
      <c r="E37" s="92"/>
      <c r="F37" s="93"/>
      <c r="G37" s="93"/>
      <c r="H37" s="93"/>
      <c r="I37" s="92"/>
      <c r="J37" s="93"/>
      <c r="K37" s="92"/>
      <c r="L37" s="93"/>
      <c r="M37" s="92"/>
      <c r="N37" s="93"/>
      <c r="O37" s="94" t="str">
        <f>VLOOKUP(23,TXT_K,$G$3,0)</f>
        <v>Leistung nach DIN EN 16430</v>
      </c>
    </row>
    <row r="38" spans="2:15" s="74" customFormat="1" ht="12" x14ac:dyDescent="0.2">
      <c r="B38" s="76" t="str">
        <f>VLOOKUP(41,TXT_K,$G$3,0)</f>
        <v>Leistungsdaten mit Abdeckung, Rollrost Typ 941-17-B (f.Q. 70%)</v>
      </c>
      <c r="C38" s="91"/>
      <c r="E38" s="92"/>
      <c r="F38" s="93"/>
      <c r="G38" s="93"/>
      <c r="H38" s="93"/>
      <c r="I38" s="92"/>
      <c r="J38" s="93"/>
      <c r="K38" s="92"/>
      <c r="L38" s="93"/>
      <c r="M38" s="92"/>
      <c r="N38" s="93"/>
      <c r="O38" s="94"/>
    </row>
    <row r="39" spans="2:15" s="74" customFormat="1" ht="12" x14ac:dyDescent="0.2">
      <c r="B39" s="76" t="str">
        <f>VLOOKUP(42,TXT_K,$G$3,0)</f>
        <v>Bei abweichenden Abdeckungen, ist mit einer Leistungsminderung zu rechnen</v>
      </c>
      <c r="C39" s="91"/>
      <c r="E39" s="92"/>
      <c r="F39" s="93"/>
      <c r="G39" s="93"/>
      <c r="H39" s="93"/>
      <c r="I39" s="92"/>
      <c r="J39" s="93"/>
      <c r="K39" s="92"/>
      <c r="L39" s="93"/>
      <c r="M39" s="92"/>
      <c r="N39" s="93"/>
      <c r="O39" s="94"/>
    </row>
    <row r="40" spans="2:15" s="74" customFormat="1" ht="12" x14ac:dyDescent="0.2">
      <c r="B40" s="76" t="str">
        <f>VLOOKUP(28,TXT_K,$G$3,0)</f>
        <v>Minimale Wassermassenströme von ca. 20 kg/h sollen eingehalten werden</v>
      </c>
    </row>
    <row r="41" spans="2:15" ht="9.75" customHeight="1" x14ac:dyDescent="0.25"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2:15" x14ac:dyDescent="0.25">
      <c r="B42" s="75" t="str">
        <f>VLOOKUP(34,TXT_K,$G$3,0)</f>
        <v>T2: Trockene Kühlung - 2-Leiter-System ohne Ablaufstutzen für Kondensat</v>
      </c>
      <c r="C42" s="6"/>
      <c r="D42" s="6"/>
      <c r="E42" s="6"/>
      <c r="F42" s="6"/>
      <c r="G42" s="6"/>
      <c r="H42" s="6"/>
      <c r="I42" s="6"/>
      <c r="J42" s="6"/>
      <c r="K42" s="6"/>
      <c r="M42" s="6"/>
      <c r="N42" s="6"/>
      <c r="O42" s="6"/>
    </row>
    <row r="43" spans="2:15" x14ac:dyDescent="0.25">
      <c r="B43" s="76" t="str">
        <f>VLOOKUP(5,TXT_K,$G$3,0)</f>
        <v>Qt [W]: Kühlleistung gesamt</v>
      </c>
      <c r="C43" s="6"/>
      <c r="D43" s="6"/>
      <c r="E43" s="6"/>
      <c r="F43" s="6"/>
      <c r="G43" s="6"/>
      <c r="H43" s="6"/>
      <c r="I43" s="6"/>
      <c r="M43" s="6"/>
      <c r="N43" s="6"/>
      <c r="O43" s="94" t="str">
        <f>VLOOKUP(26,TXT_K,$G$3,0)</f>
        <v>Querstromventilator Typ EC65  24VDC</v>
      </c>
    </row>
    <row r="44" spans="2:15" x14ac:dyDescent="0.25">
      <c r="B44" s="76" t="str">
        <f>VLOOKUP(6,TXT_K,$G$3,0)</f>
        <v>Qs [W]: Kühlleistung sensibel</v>
      </c>
      <c r="C44" s="6"/>
      <c r="D44" s="6"/>
      <c r="E44" s="6"/>
      <c r="F44" s="6"/>
      <c r="G44" s="6"/>
      <c r="H44" s="6"/>
      <c r="I44" s="6"/>
      <c r="J44" s="6"/>
      <c r="K44" s="6"/>
      <c r="M44" s="6"/>
      <c r="N44" s="6"/>
      <c r="O44" s="98" t="str">
        <f>VLOOKUP(10,TXT_K,$G$3,0)</f>
        <v>M: Anzahl Motoren</v>
      </c>
    </row>
    <row r="45" spans="2:15" x14ac:dyDescent="0.25">
      <c r="B45" s="74" t="str">
        <f>VLOOKUP(38,TXT_K,$G$3,0)</f>
        <v>X: Erweiterung des Bodenkanals um ein Regulierungsmodul zu integrieren</v>
      </c>
      <c r="C45" s="6"/>
      <c r="D45" s="6"/>
      <c r="E45" s="6"/>
      <c r="F45" s="6"/>
      <c r="G45" s="6"/>
      <c r="H45" s="6"/>
      <c r="I45" s="6"/>
      <c r="J45" s="6"/>
      <c r="K45" s="6"/>
      <c r="M45" s="6"/>
      <c r="N45" s="6"/>
      <c r="O45" s="98" t="str">
        <f>VLOOKUP(14,TXT_K,$G$3,0)</f>
        <v>QVw: Anzahl Ventilatoren-Walzen</v>
      </c>
    </row>
    <row r="46" spans="2:15" x14ac:dyDescent="0.25">
      <c r="B46" s="74" t="str">
        <f>VLOOKUP(33,TXT_K,$G$3,0)</f>
        <v>Die Zwischenlängen werden durch Leerstücke angepasst.</v>
      </c>
      <c r="C46" s="6"/>
      <c r="D46" s="6"/>
      <c r="E46" s="6"/>
      <c r="F46" s="6"/>
      <c r="G46" s="6"/>
      <c r="H46" s="6"/>
      <c r="I46" s="6"/>
      <c r="J46" s="6"/>
      <c r="K46" s="6"/>
      <c r="M46" s="6"/>
      <c r="N46" s="6"/>
      <c r="O46" s="98" t="str">
        <f>VLOOKUP(15,TXT_K,$G$3,0)</f>
        <v>ṁ: Wassermassenstrom [kg/h]</v>
      </c>
    </row>
    <row r="47" spans="2:15" x14ac:dyDescent="0.25">
      <c r="B47" s="74" t="str">
        <f>VLOOKUP(29,TXT_K,$G$3,0)</f>
        <v>Bei Veränderungen der Standardteile können Abweichungen entstehen</v>
      </c>
    </row>
    <row r="48" spans="2:15" x14ac:dyDescent="0.25"/>
    <row r="49" spans="15:15" x14ac:dyDescent="0.25"/>
    <row r="50" spans="15:15" x14ac:dyDescent="0.25"/>
    <row r="51" spans="15:15" x14ac:dyDescent="0.25"/>
    <row r="52" spans="15:15" x14ac:dyDescent="0.25"/>
    <row r="53" spans="15:15" x14ac:dyDescent="0.25"/>
    <row r="54" spans="15:15" x14ac:dyDescent="0.25">
      <c r="O54" s="73" t="s">
        <v>1050</v>
      </c>
    </row>
    <row r="55" spans="15:15" x14ac:dyDescent="0.25"/>
  </sheetData>
  <sheetProtection algorithmName="SHA-512" hashValue="LWzdxPUMG4jKsz/JauG/uqxvoY27QsT5z9LiqPDvsDiZoz90VGw/0/0JMXck4McTPVN3FFeAaNII3ARrBOwAmA==" saltValue="rPUE7Pj6OFMyvfo+K2PZoQ==" spinCount="100000" sheet="1" objects="1" scenarios="1" selectLockedCells="1"/>
  <protectedRanges>
    <protectedRange sqref="C3:H5" name="Bereich1"/>
  </protectedRanges>
  <mergeCells count="32">
    <mergeCell ref="B16:B17"/>
    <mergeCell ref="C16:C17"/>
    <mergeCell ref="F28:N28"/>
    <mergeCell ref="B18:B19"/>
    <mergeCell ref="C18:C19"/>
    <mergeCell ref="B20:B21"/>
    <mergeCell ref="C20:C21"/>
    <mergeCell ref="B22:B23"/>
    <mergeCell ref="C22:C23"/>
    <mergeCell ref="F9:N9"/>
    <mergeCell ref="B12:B13"/>
    <mergeCell ref="C12:C13"/>
    <mergeCell ref="B14:B15"/>
    <mergeCell ref="C14:C15"/>
    <mergeCell ref="O22:O23"/>
    <mergeCell ref="E11:N11"/>
    <mergeCell ref="E30:N30"/>
    <mergeCell ref="O12:O13"/>
    <mergeCell ref="O14:O15"/>
    <mergeCell ref="O16:O17"/>
    <mergeCell ref="O18:O19"/>
    <mergeCell ref="O20:O21"/>
    <mergeCell ref="G2:H2"/>
    <mergeCell ref="G3:H5"/>
    <mergeCell ref="C3:D3"/>
    <mergeCell ref="C4:D4"/>
    <mergeCell ref="C5:D5"/>
    <mergeCell ref="C2:D2"/>
    <mergeCell ref="E2:F2"/>
    <mergeCell ref="E3:F3"/>
    <mergeCell ref="E4:F4"/>
    <mergeCell ref="E5:F5"/>
  </mergeCells>
  <conditionalFormatting sqref="C3:D5">
    <cfRule type="expression" dxfId="237" priority="2">
      <formula>$J$3&lt;&gt;""</formula>
    </cfRule>
  </conditionalFormatting>
  <conditionalFormatting sqref="E3:F5">
    <cfRule type="expression" dxfId="236" priority="1">
      <formula>$J$4&lt;&gt;""</formula>
    </cfRule>
  </conditionalFormatting>
  <dataValidations count="7">
    <dataValidation type="whole" allowBlank="1" showInputMessage="1" showErrorMessage="1" sqref="C3:D3" xr:uid="{C4E6D7B8-C34E-4214-9785-DD4940942910}">
      <formula1>30</formula1>
      <formula2>90</formula2>
    </dataValidation>
    <dataValidation type="whole" allowBlank="1" showInputMessage="1" showErrorMessage="1" sqref="C4:D4" xr:uid="{201802FB-3E6F-456A-B5F9-4C7C3C372526}">
      <formula1>25</formula1>
      <formula2>85</formula2>
    </dataValidation>
    <dataValidation type="whole" allowBlank="1" showInputMessage="1" showErrorMessage="1" sqref="C5:D5" xr:uid="{F3C3FA95-2B87-4B86-B10B-553D04BFEFC2}">
      <formula1>15</formula1>
      <formula2>29</formula2>
    </dataValidation>
    <dataValidation type="whole" allowBlank="1" showInputMessage="1" showErrorMessage="1" sqref="E3:F3" xr:uid="{83D8509A-B7EF-4CF7-AD26-748F27911D52}">
      <formula1>4</formula1>
      <formula2>20</formula2>
    </dataValidation>
    <dataValidation type="whole" allowBlank="1" showInputMessage="1" showErrorMessage="1" sqref="E4:F4" xr:uid="{2E273FE9-E731-4C8C-AE02-10F6CD88D1F0}">
      <formula1>6</formula1>
      <formula2>24</formula2>
    </dataValidation>
    <dataValidation type="whole" allowBlank="1" showInputMessage="1" showErrorMessage="1" sqref="E5:F5" xr:uid="{1F42F8CB-6F0D-4323-ABC0-773FC5ABE502}">
      <formula1>20</formula1>
      <formula2>30</formula2>
    </dataValidation>
    <dataValidation type="whole" allowBlank="1" showInputMessage="1" showErrorMessage="1" sqref="G3:H5" xr:uid="{9D951007-1A91-43ED-A679-C305C351F0FF}">
      <formula1>2</formula1>
      <formula2>3</formula2>
    </dataValidation>
  </dataValidations>
  <pageMargins left="0.51181102362204722" right="0.31496062992125984" top="0.94488188976377963" bottom="0.55118110236220474" header="0.31496062992125984" footer="0.11811023622047245"/>
  <pageSetup paperSize="9" orientation="portrait" r:id="rId1"/>
  <headerFooter>
    <oddHeader>&amp;C&amp;G</oddHeader>
    <oddFooter>&amp;C&amp;G</oddFooter>
  </headerFooter>
  <ignoredErrors>
    <ignoredError sqref="H22:O22 E12:F12 I12:O12 I31:O36 J13 I14:O14 I16:O16 I18:O18 I20:O20 F31 E14:F14 F13 E16:F16 F15 E18:F18 F17 E20:F20 F19 E22:F22 F21 J15 J17 J19 J21 J23 L13 L15 L17 L19 L21 L23 N13:O13 N15:O15 N17:O17 N19:O19 N21:O21 N23:O23 G12:H21 G31:H36 G23:H23 G22 F33:F36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6" id="{DB268CA8-4F83-48B7-8513-434991D13EC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E12</xm:sqref>
        </x14:conditionalFormatting>
        <x14:conditionalFormatting xmlns:xm="http://schemas.microsoft.com/office/excel/2006/main">
          <x14:cfRule type="iconSet" priority="65" id="{F6573BDD-8D3F-4611-83D9-3E9AB66FF14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E14</xm:sqref>
        </x14:conditionalFormatting>
        <x14:conditionalFormatting xmlns:xm="http://schemas.microsoft.com/office/excel/2006/main">
          <x14:cfRule type="iconSet" priority="64" id="{3560290D-6D46-4DEB-97B1-AADE8BADC79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E16</xm:sqref>
        </x14:conditionalFormatting>
        <x14:conditionalFormatting xmlns:xm="http://schemas.microsoft.com/office/excel/2006/main">
          <x14:cfRule type="iconSet" priority="63" id="{384E50DF-2D38-4E71-A315-9FA0150E945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</xm:sqref>
        </x14:conditionalFormatting>
        <x14:conditionalFormatting xmlns:xm="http://schemas.microsoft.com/office/excel/2006/main">
          <x14:cfRule type="iconSet" priority="62" id="{DC085F69-B031-468A-84F0-7D26118524D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</xm:sqref>
        </x14:conditionalFormatting>
        <x14:conditionalFormatting xmlns:xm="http://schemas.microsoft.com/office/excel/2006/main">
          <x14:cfRule type="iconSet" priority="61" id="{6E083891-B347-4AA8-A77C-F90793536E9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</xm:sqref>
        </x14:conditionalFormatting>
        <x14:conditionalFormatting xmlns:xm="http://schemas.microsoft.com/office/excel/2006/main">
          <x14:cfRule type="iconSet" priority="42" id="{6D5BDACE-78B8-4CC3-B9AA-4A34E0E8CCD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E31</xm:sqref>
        </x14:conditionalFormatting>
        <x14:conditionalFormatting xmlns:xm="http://schemas.microsoft.com/office/excel/2006/main">
          <x14:cfRule type="iconSet" priority="41" id="{DE5F0867-E121-4338-AB64-40DA06FAC01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</xm:sqref>
        </x14:conditionalFormatting>
        <x14:conditionalFormatting xmlns:xm="http://schemas.microsoft.com/office/excel/2006/main">
          <x14:cfRule type="iconSet" priority="40" id="{54BDB808-B428-4DE2-A221-1047CDA83BC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E33</xm:sqref>
        </x14:conditionalFormatting>
        <x14:conditionalFormatting xmlns:xm="http://schemas.microsoft.com/office/excel/2006/main">
          <x14:cfRule type="iconSet" priority="39" id="{F977F5B2-FA46-4B8D-8F88-929B15FD62F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</xm:sqref>
        </x14:conditionalFormatting>
        <x14:conditionalFormatting xmlns:xm="http://schemas.microsoft.com/office/excel/2006/main">
          <x14:cfRule type="iconSet" priority="38" id="{70E21838-18E3-4B90-BB25-B490C540566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E35</xm:sqref>
        </x14:conditionalFormatting>
        <x14:conditionalFormatting xmlns:xm="http://schemas.microsoft.com/office/excel/2006/main">
          <x14:cfRule type="iconSet" priority="37" id="{4A871228-C50E-46AE-9AA1-9866B431E18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E36:E39</xm:sqref>
        </x14:conditionalFormatting>
        <x14:conditionalFormatting xmlns:xm="http://schemas.microsoft.com/office/excel/2006/main">
          <x14:cfRule type="iconSet" priority="14" id="{43602936-64B0-4AA5-BE28-A870252CF27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G12</xm:sqref>
        </x14:conditionalFormatting>
        <x14:conditionalFormatting xmlns:xm="http://schemas.microsoft.com/office/excel/2006/main">
          <x14:cfRule type="iconSet" priority="13" id="{8D86A0CA-54A0-455F-95EF-4071D77D3C0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G14</xm:sqref>
        </x14:conditionalFormatting>
        <x14:conditionalFormatting xmlns:xm="http://schemas.microsoft.com/office/excel/2006/main">
          <x14:cfRule type="iconSet" priority="12" id="{1242A82D-E061-450C-AD7C-CAE1A91A456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G16</xm:sqref>
        </x14:conditionalFormatting>
        <x14:conditionalFormatting xmlns:xm="http://schemas.microsoft.com/office/excel/2006/main">
          <x14:cfRule type="iconSet" priority="11" id="{D288CD0A-7FEF-4307-8FCC-915D56EB760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G18</xm:sqref>
        </x14:conditionalFormatting>
        <x14:conditionalFormatting xmlns:xm="http://schemas.microsoft.com/office/excel/2006/main">
          <x14:cfRule type="iconSet" priority="10" id="{F0B71920-F9F4-4D2D-98DA-F28A7BEFB16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G20</xm:sqref>
        </x14:conditionalFormatting>
        <x14:conditionalFormatting xmlns:xm="http://schemas.microsoft.com/office/excel/2006/main">
          <x14:cfRule type="iconSet" priority="9" id="{66AA57A0-6160-4399-BF0E-64A58E6F504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G22</xm:sqref>
        </x14:conditionalFormatting>
        <x14:conditionalFormatting xmlns:xm="http://schemas.microsoft.com/office/excel/2006/main">
          <x14:cfRule type="iconSet" priority="8" id="{2E4AF00B-DA55-44C1-944F-DDC3EBD3938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G31</xm:sqref>
        </x14:conditionalFormatting>
        <x14:conditionalFormatting xmlns:xm="http://schemas.microsoft.com/office/excel/2006/main">
          <x14:cfRule type="iconSet" priority="7" id="{BBC13F90-BC22-46D5-87A1-3AA8E2A98A2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G32</xm:sqref>
        </x14:conditionalFormatting>
        <x14:conditionalFormatting xmlns:xm="http://schemas.microsoft.com/office/excel/2006/main">
          <x14:cfRule type="iconSet" priority="6" id="{4569336A-4B97-4BE0-9677-9A6BECD0448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G33</xm:sqref>
        </x14:conditionalFormatting>
        <x14:conditionalFormatting xmlns:xm="http://schemas.microsoft.com/office/excel/2006/main">
          <x14:cfRule type="iconSet" priority="5" id="{A6E0693F-898F-48BB-B7A0-87A66DAF10A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G34</xm:sqref>
        </x14:conditionalFormatting>
        <x14:conditionalFormatting xmlns:xm="http://schemas.microsoft.com/office/excel/2006/main">
          <x14:cfRule type="iconSet" priority="4" id="{A20AA009-3483-40BD-A0BC-00AF29CBBAB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G35</xm:sqref>
        </x14:conditionalFormatting>
        <x14:conditionalFormatting xmlns:xm="http://schemas.microsoft.com/office/excel/2006/main">
          <x14:cfRule type="iconSet" priority="3" id="{E8487A50-43A0-4E58-B18F-E2683BF449F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G36</xm:sqref>
        </x14:conditionalFormatting>
        <x14:conditionalFormatting xmlns:xm="http://schemas.microsoft.com/office/excel/2006/main">
          <x14:cfRule type="iconSet" priority="60" id="{D7E70B34-99DF-4046-A022-A69C8360B90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I12</xm:sqref>
        </x14:conditionalFormatting>
        <x14:conditionalFormatting xmlns:xm="http://schemas.microsoft.com/office/excel/2006/main">
          <x14:cfRule type="iconSet" priority="59" id="{9BDE6DB1-60E7-444B-ACDB-C98B2409860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I14</xm:sqref>
        </x14:conditionalFormatting>
        <x14:conditionalFormatting xmlns:xm="http://schemas.microsoft.com/office/excel/2006/main">
          <x14:cfRule type="iconSet" priority="58" id="{52379AD3-72F5-4849-A575-38FDD437DBA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57" id="{C9D26442-48C2-40DB-87DD-B67AA9D7917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I18</xm:sqref>
        </x14:conditionalFormatting>
        <x14:conditionalFormatting xmlns:xm="http://schemas.microsoft.com/office/excel/2006/main">
          <x14:cfRule type="iconSet" priority="56" id="{E705E9CE-0D00-4A82-AA84-9DCEA9C3B6C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I20</xm:sqref>
        </x14:conditionalFormatting>
        <x14:conditionalFormatting xmlns:xm="http://schemas.microsoft.com/office/excel/2006/main">
          <x14:cfRule type="iconSet" priority="55" id="{16BD93CB-794F-4ED5-BBA7-B0FCF9B9596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I22</xm:sqref>
        </x14:conditionalFormatting>
        <x14:conditionalFormatting xmlns:xm="http://schemas.microsoft.com/office/excel/2006/main">
          <x14:cfRule type="iconSet" priority="36" id="{B98BE8FB-A07D-40ED-BA19-D8AAF0C1715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I31</xm:sqref>
        </x14:conditionalFormatting>
        <x14:conditionalFormatting xmlns:xm="http://schemas.microsoft.com/office/excel/2006/main">
          <x14:cfRule type="iconSet" priority="35" id="{EB9F8DFC-D75C-4012-BDE9-5DD331C08D0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I32</xm:sqref>
        </x14:conditionalFormatting>
        <x14:conditionalFormatting xmlns:xm="http://schemas.microsoft.com/office/excel/2006/main">
          <x14:cfRule type="iconSet" priority="34" id="{0954CAFB-A2A0-4B0F-B02F-A9961D9B295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I33</xm:sqref>
        </x14:conditionalFormatting>
        <x14:conditionalFormatting xmlns:xm="http://schemas.microsoft.com/office/excel/2006/main">
          <x14:cfRule type="iconSet" priority="33" id="{56A3B118-7048-41F2-BBC6-60B54A13030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I34</xm:sqref>
        </x14:conditionalFormatting>
        <x14:conditionalFormatting xmlns:xm="http://schemas.microsoft.com/office/excel/2006/main">
          <x14:cfRule type="iconSet" priority="32" id="{B76A00BB-88F2-4444-BF09-ECF86053CAC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I35</xm:sqref>
        </x14:conditionalFormatting>
        <x14:conditionalFormatting xmlns:xm="http://schemas.microsoft.com/office/excel/2006/main">
          <x14:cfRule type="iconSet" priority="31" id="{1164145D-5A00-442F-BA42-B28A0791098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I36</xm:sqref>
        </x14:conditionalFormatting>
        <x14:conditionalFormatting xmlns:xm="http://schemas.microsoft.com/office/excel/2006/main">
          <x14:cfRule type="iconSet" priority="17" id="{02438269-96CA-43B0-8184-A451E57A709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I37:I39</xm:sqref>
        </x14:conditionalFormatting>
        <x14:conditionalFormatting xmlns:xm="http://schemas.microsoft.com/office/excel/2006/main">
          <x14:cfRule type="iconSet" priority="54" id="{300B9B67-0BCF-412B-A140-60FB77DF45A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K12</xm:sqref>
        </x14:conditionalFormatting>
        <x14:conditionalFormatting xmlns:xm="http://schemas.microsoft.com/office/excel/2006/main">
          <x14:cfRule type="iconSet" priority="53" id="{FA5FE0FB-62EB-46A3-B91A-EAC305C7393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K14</xm:sqref>
        </x14:conditionalFormatting>
        <x14:conditionalFormatting xmlns:xm="http://schemas.microsoft.com/office/excel/2006/main">
          <x14:cfRule type="iconSet" priority="52" id="{AB14E2E4-2D2B-4F63-A5E7-1E16DE0CCA0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K16</xm:sqref>
        </x14:conditionalFormatting>
        <x14:conditionalFormatting xmlns:xm="http://schemas.microsoft.com/office/excel/2006/main">
          <x14:cfRule type="iconSet" priority="51" id="{828DD7E3-8C68-4DC6-88C9-213E633337E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K18</xm:sqref>
        </x14:conditionalFormatting>
        <x14:conditionalFormatting xmlns:xm="http://schemas.microsoft.com/office/excel/2006/main">
          <x14:cfRule type="iconSet" priority="50" id="{B89A6AC4-9BD8-4509-9997-0326D002CA1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K20</xm:sqref>
        </x14:conditionalFormatting>
        <x14:conditionalFormatting xmlns:xm="http://schemas.microsoft.com/office/excel/2006/main">
          <x14:cfRule type="iconSet" priority="49" id="{7346ABC3-EA6D-4576-8501-58C0698F754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K22</xm:sqref>
        </x14:conditionalFormatting>
        <x14:conditionalFormatting xmlns:xm="http://schemas.microsoft.com/office/excel/2006/main">
          <x14:cfRule type="iconSet" priority="30" id="{F8C3377A-085C-455D-AE8C-C4F19FF8195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K31</xm:sqref>
        </x14:conditionalFormatting>
        <x14:conditionalFormatting xmlns:xm="http://schemas.microsoft.com/office/excel/2006/main">
          <x14:cfRule type="iconSet" priority="29" id="{64F0512A-2FFF-402C-B111-3F957AE160C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K32</xm:sqref>
        </x14:conditionalFormatting>
        <x14:conditionalFormatting xmlns:xm="http://schemas.microsoft.com/office/excel/2006/main">
          <x14:cfRule type="iconSet" priority="28" id="{1F4A234D-DB8E-4ABD-9D04-70943A52DE9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K33</xm:sqref>
        </x14:conditionalFormatting>
        <x14:conditionalFormatting xmlns:xm="http://schemas.microsoft.com/office/excel/2006/main">
          <x14:cfRule type="iconSet" priority="27" id="{C0D72B13-94C1-4367-9373-2CB1EF3B0D7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K34</xm:sqref>
        </x14:conditionalFormatting>
        <x14:conditionalFormatting xmlns:xm="http://schemas.microsoft.com/office/excel/2006/main">
          <x14:cfRule type="iconSet" priority="26" id="{86DCEE45-9EE3-4AE5-963D-FB735D64498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K35</xm:sqref>
        </x14:conditionalFormatting>
        <x14:conditionalFormatting xmlns:xm="http://schemas.microsoft.com/office/excel/2006/main">
          <x14:cfRule type="iconSet" priority="25" id="{760F1B8F-06A2-4984-BA6D-DFF5C9CC6D0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K36</xm:sqref>
        </x14:conditionalFormatting>
        <x14:conditionalFormatting xmlns:xm="http://schemas.microsoft.com/office/excel/2006/main">
          <x14:cfRule type="iconSet" priority="16" id="{6C5A0BF1-74E6-4222-A559-8E9B952032C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K37:K39</xm:sqref>
        </x14:conditionalFormatting>
        <x14:conditionalFormatting xmlns:xm="http://schemas.microsoft.com/office/excel/2006/main">
          <x14:cfRule type="iconSet" priority="48" id="{DF4C6956-D0CD-47AA-9E45-D03EE4629FA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M12</xm:sqref>
        </x14:conditionalFormatting>
        <x14:conditionalFormatting xmlns:xm="http://schemas.microsoft.com/office/excel/2006/main">
          <x14:cfRule type="iconSet" priority="47" id="{DB0F74C2-81B6-477A-A26B-515C9E02C07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M14</xm:sqref>
        </x14:conditionalFormatting>
        <x14:conditionalFormatting xmlns:xm="http://schemas.microsoft.com/office/excel/2006/main">
          <x14:cfRule type="iconSet" priority="46" id="{7D6DBD82-E9D3-44CA-BDCA-8474609A0F5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M16</xm:sqref>
        </x14:conditionalFormatting>
        <x14:conditionalFormatting xmlns:xm="http://schemas.microsoft.com/office/excel/2006/main">
          <x14:cfRule type="iconSet" priority="45" id="{3DC4E0AB-2CB6-4486-BF25-B9D27FCD8CE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M18</xm:sqref>
        </x14:conditionalFormatting>
        <x14:conditionalFormatting xmlns:xm="http://schemas.microsoft.com/office/excel/2006/main">
          <x14:cfRule type="iconSet" priority="44" id="{F1D77291-C296-448D-A51C-A43EDE4763D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M20</xm:sqref>
        </x14:conditionalFormatting>
        <x14:conditionalFormatting xmlns:xm="http://schemas.microsoft.com/office/excel/2006/main">
          <x14:cfRule type="iconSet" priority="43" id="{F7E0B564-0C09-4E88-B2C5-3BEC07DEE5D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M22</xm:sqref>
        </x14:conditionalFormatting>
        <x14:conditionalFormatting xmlns:xm="http://schemas.microsoft.com/office/excel/2006/main">
          <x14:cfRule type="iconSet" priority="24" id="{3CADE7B9-C3FB-44A6-A526-49F7E75F7DA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M31</xm:sqref>
        </x14:conditionalFormatting>
        <x14:conditionalFormatting xmlns:xm="http://schemas.microsoft.com/office/excel/2006/main">
          <x14:cfRule type="iconSet" priority="23" id="{539F2CA5-35D7-4FF2-BC28-EDC4C38833B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M32</xm:sqref>
        </x14:conditionalFormatting>
        <x14:conditionalFormatting xmlns:xm="http://schemas.microsoft.com/office/excel/2006/main">
          <x14:cfRule type="iconSet" priority="22" id="{F16CEFDB-C478-461C-B27E-FC2A4955DFB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M33</xm:sqref>
        </x14:conditionalFormatting>
        <x14:conditionalFormatting xmlns:xm="http://schemas.microsoft.com/office/excel/2006/main">
          <x14:cfRule type="iconSet" priority="21" id="{1049F665-0D6D-47F0-A31E-FC3D69CD50D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M34</xm:sqref>
        </x14:conditionalFormatting>
        <x14:conditionalFormatting xmlns:xm="http://schemas.microsoft.com/office/excel/2006/main">
          <x14:cfRule type="iconSet" priority="20" id="{AF9E519F-E776-423A-A1E6-8143AD23A33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M35</xm:sqref>
        </x14:conditionalFormatting>
        <x14:conditionalFormatting xmlns:xm="http://schemas.microsoft.com/office/excel/2006/main">
          <x14:cfRule type="iconSet" priority="19" id="{92270727-557B-48FB-8349-822F9D0C891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M36</xm:sqref>
        </x14:conditionalFormatting>
        <x14:conditionalFormatting xmlns:xm="http://schemas.microsoft.com/office/excel/2006/main">
          <x14:cfRule type="iconSet" priority="15" id="{9F85EE2B-93DE-4CF6-8169-DF3DD27D1EE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M37:M39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5"/>
  <sheetViews>
    <sheetView showGridLines="0" showRowColHeaders="0" zoomScaleNormal="100" workbookViewId="0">
      <selection activeCell="D3" sqref="D3:E3"/>
    </sheetView>
  </sheetViews>
  <sheetFormatPr baseColWidth="10" defaultColWidth="0" defaultRowHeight="15" zeroHeight="1" x14ac:dyDescent="0.25"/>
  <cols>
    <col min="1" max="1" width="3.28515625" customWidth="1"/>
    <col min="2" max="2" width="9.42578125" customWidth="1"/>
    <col min="3" max="3" width="6.42578125" customWidth="1"/>
    <col min="4" max="4" width="5" customWidth="1"/>
    <col min="5" max="5" width="7.28515625" customWidth="1"/>
    <col min="6" max="6" width="6.28515625" customWidth="1"/>
    <col min="7" max="7" width="7.28515625" customWidth="1"/>
    <col min="8" max="8" width="6.28515625" customWidth="1"/>
    <col min="9" max="9" width="7.28515625" customWidth="1"/>
    <col min="10" max="10" width="6.28515625" customWidth="1"/>
    <col min="11" max="11" width="7.28515625" customWidth="1"/>
    <col min="12" max="12" width="6.28515625" customWidth="1"/>
    <col min="13" max="13" width="7.28515625" customWidth="1"/>
    <col min="14" max="14" width="6.28515625" customWidth="1"/>
    <col min="15" max="15" width="5.28515625" customWidth="1"/>
    <col min="16" max="16" width="3.28515625" customWidth="1"/>
    <col min="17" max="16384" width="11.42578125" hidden="1"/>
  </cols>
  <sheetData>
    <row r="1" spans="2:15" x14ac:dyDescent="0.25"/>
    <row r="2" spans="2:15" x14ac:dyDescent="0.25">
      <c r="C2" s="416" t="s">
        <v>936</v>
      </c>
      <c r="D2" s="416"/>
      <c r="E2" s="417" t="s">
        <v>937</v>
      </c>
      <c r="F2" s="417"/>
      <c r="G2" s="413" t="s">
        <v>938</v>
      </c>
      <c r="H2" s="413"/>
    </row>
    <row r="3" spans="2:15" ht="23.25" x14ac:dyDescent="0.35">
      <c r="B3" s="286" t="s">
        <v>933</v>
      </c>
      <c r="C3" s="415">
        <v>50</v>
      </c>
      <c r="D3" s="415"/>
      <c r="E3" s="418">
        <v>12</v>
      </c>
      <c r="F3" s="418"/>
      <c r="G3" s="414">
        <v>2</v>
      </c>
      <c r="H3" s="414"/>
      <c r="J3" s="284" t="str">
        <f>IF(OR((C3-C4)&lt;3,(C4-C5)&lt;3,(C3-C4)&gt;25,C5&lt;15,ISERROR(F31)),"Bitte überprüfen Sie ihre Eingaben!","")</f>
        <v/>
      </c>
    </row>
    <row r="4" spans="2:15" ht="23.25" x14ac:dyDescent="0.35">
      <c r="B4" s="286" t="s">
        <v>934</v>
      </c>
      <c r="C4" s="415">
        <v>40</v>
      </c>
      <c r="D4" s="415"/>
      <c r="E4" s="418">
        <v>16</v>
      </c>
      <c r="F4" s="418"/>
      <c r="G4" s="414"/>
      <c r="H4" s="414"/>
      <c r="J4" s="284" t="str">
        <f>IF(ISERROR(F12),"Bitte überprüfen Sie ihre Eingaben!","")</f>
        <v/>
      </c>
    </row>
    <row r="5" spans="2:15" ht="23.25" x14ac:dyDescent="0.35">
      <c r="B5" s="286" t="s">
        <v>935</v>
      </c>
      <c r="C5" s="415">
        <v>20</v>
      </c>
      <c r="D5" s="415"/>
      <c r="E5" s="418">
        <v>27</v>
      </c>
      <c r="F5" s="418"/>
      <c r="G5" s="414"/>
      <c r="H5" s="414"/>
    </row>
    <row r="6" spans="2:15" x14ac:dyDescent="0.25"/>
    <row r="7" spans="2:15" ht="21" x14ac:dyDescent="0.35">
      <c r="B7" s="19" t="str">
        <f>VLOOKUP(1,TXT_K,$G$3,0)</f>
        <v>Kühlmedium  (PKW)</v>
      </c>
      <c r="C7" s="19"/>
      <c r="D7" s="19"/>
      <c r="E7" s="19"/>
      <c r="F7" s="20" t="str">
        <f>CONCATENATE(E3,"°C"," / ",E4,"°C")</f>
        <v>12°C / 16°C</v>
      </c>
      <c r="G7" s="20"/>
      <c r="H7" s="20"/>
      <c r="I7" s="20"/>
      <c r="J7" s="19"/>
      <c r="K7" s="19"/>
      <c r="L7" s="19"/>
      <c r="M7" s="21" t="str">
        <f>VLOOKUP(8,TXT_K,$G$3,0)</f>
        <v>Raumtemperatur</v>
      </c>
      <c r="N7" s="21"/>
      <c r="O7" s="22" t="str">
        <f>CONCATENATE("+",E5,"°C")</f>
        <v>+27°C</v>
      </c>
    </row>
    <row r="8" spans="2:15" s="74" customFormat="1" ht="12" x14ac:dyDescent="0.2"/>
    <row r="9" spans="2:15" s="74" customFormat="1" ht="12" x14ac:dyDescent="0.2">
      <c r="B9" s="74" t="str">
        <f>VLOOKUP(2,TXT_K,$G$3,0)</f>
        <v>Modell</v>
      </c>
      <c r="F9" s="422" t="str">
        <f>VLOOKUP(7,TXT_K,$G$3,0)</f>
        <v>Leistungsprozent</v>
      </c>
      <c r="G9" s="422"/>
      <c r="H9" s="422"/>
      <c r="I9" s="422"/>
      <c r="J9" s="422"/>
      <c r="K9" s="422"/>
      <c r="L9" s="422"/>
      <c r="M9" s="422"/>
      <c r="N9" s="422"/>
    </row>
    <row r="10" spans="2:15" ht="21" x14ac:dyDescent="0.35">
      <c r="B10" s="14" t="s">
        <v>997</v>
      </c>
      <c r="E10" s="72"/>
      <c r="F10" s="71">
        <v>0.3</v>
      </c>
      <c r="G10" s="3"/>
      <c r="H10" s="3">
        <v>0.4</v>
      </c>
      <c r="I10" s="2"/>
      <c r="J10" s="2">
        <v>0.5</v>
      </c>
      <c r="K10" s="1"/>
      <c r="L10" s="1">
        <v>0.6</v>
      </c>
      <c r="M10" s="4"/>
      <c r="N10" s="4">
        <v>1</v>
      </c>
      <c r="O10" s="6"/>
    </row>
    <row r="11" spans="2:15" s="74" customFormat="1" ht="28.5" customHeight="1" x14ac:dyDescent="0.2">
      <c r="B11" s="85" t="str">
        <f>VLOOKUP(3,TXT_K,$G$3,0)</f>
        <v>Wanne  Bk [mm]</v>
      </c>
      <c r="C11" s="85" t="str">
        <f>VLOOKUP(4,TXT_K,$G$3,0)</f>
        <v>Element He [mm]</v>
      </c>
      <c r="E11" s="421" t="str">
        <f>VLOOKUP(20,TXT_K,$G$3,0)</f>
        <v>Kühlleistung [W]</v>
      </c>
      <c r="F11" s="421"/>
      <c r="G11" s="421"/>
      <c r="H11" s="421"/>
      <c r="I11" s="421"/>
      <c r="J11" s="421"/>
      <c r="K11" s="421"/>
      <c r="L11" s="421"/>
      <c r="M11" s="421"/>
      <c r="N11" s="421"/>
      <c r="O11" s="66" t="s">
        <v>970</v>
      </c>
    </row>
    <row r="12" spans="2:15" x14ac:dyDescent="0.25">
      <c r="B12" s="423" t="s">
        <v>964</v>
      </c>
      <c r="C12" s="425" t="s">
        <v>991</v>
      </c>
      <c r="D12" s="63" t="s">
        <v>1005</v>
      </c>
      <c r="E12" s="67">
        <f>ROUND(F12/(($E$4-$E$3)*1.161),0)</f>
        <v>30</v>
      </c>
      <c r="F12" s="68">
        <f>ROUND(F$14*0.5,0)</f>
        <v>139</v>
      </c>
      <c r="G12" s="30">
        <f>ROUND(H12/(($E$4-$E$3)*1.161),0)</f>
        <v>43</v>
      </c>
      <c r="H12" s="48">
        <f>ROUND(H$14*0.5,0)</f>
        <v>202</v>
      </c>
      <c r="I12" s="32">
        <f>ROUND(J12/(($E$4-$E$3)*1.161),0)</f>
        <v>54</v>
      </c>
      <c r="J12" s="51">
        <f>ROUND(J$14*0.51,0)</f>
        <v>250</v>
      </c>
      <c r="K12" s="34">
        <f>ROUND(L12/(($E$4-$E$3)*1.161),0)</f>
        <v>64</v>
      </c>
      <c r="L12" s="55">
        <f>ROUND(L$14*0.51,0)</f>
        <v>295</v>
      </c>
      <c r="M12" s="36">
        <f>ROUND(N12/(($E$4-$E$3)*1.161),0)</f>
        <v>91</v>
      </c>
      <c r="N12" s="59">
        <f>ROUND(N$14*0.52,0)</f>
        <v>423</v>
      </c>
      <c r="O12" s="419" t="s">
        <v>971</v>
      </c>
    </row>
    <row r="13" spans="2:15" x14ac:dyDescent="0.25">
      <c r="B13" s="424"/>
      <c r="C13" s="426"/>
      <c r="D13" s="64" t="s">
        <v>1006</v>
      </c>
      <c r="E13" s="69"/>
      <c r="F13" s="70">
        <f>ROUND(F$15*0.5,0)</f>
        <v>139</v>
      </c>
      <c r="G13" s="31"/>
      <c r="H13" s="29">
        <f>ROUND(H$15*0.5,0)</f>
        <v>202</v>
      </c>
      <c r="I13" s="33"/>
      <c r="J13" s="52">
        <f>ROUND(J$15*0.51,0)</f>
        <v>250</v>
      </c>
      <c r="K13" s="35"/>
      <c r="L13" s="56">
        <f>ROUND(L$15*0.51,0)</f>
        <v>295</v>
      </c>
      <c r="M13" s="37"/>
      <c r="N13" s="60">
        <f>ROUND(N$15*0.52,0)</f>
        <v>423</v>
      </c>
      <c r="O13" s="420"/>
    </row>
    <row r="14" spans="2:15" x14ac:dyDescent="0.25">
      <c r="B14" s="423" t="s">
        <v>988</v>
      </c>
      <c r="C14" s="425" t="s">
        <v>992</v>
      </c>
      <c r="D14" s="63" t="s">
        <v>1005</v>
      </c>
      <c r="E14" s="67">
        <f>ROUND(F14/(($E$4-$E$3)*1.161),0)</f>
        <v>60</v>
      </c>
      <c r="F14" s="68">
        <f>VLOOKUP(CONCATENATE(E3,"-",E4,"-",E5),LEISTUNGEN_K,7,0)</f>
        <v>277</v>
      </c>
      <c r="G14" s="30">
        <f>ROUND(H14/(($E$4-$E$3)*1.161),0)</f>
        <v>87</v>
      </c>
      <c r="H14" s="48">
        <f>VLOOKUP(CONCATENATE(E3,"-",E4,"-",E5),LEISTUNGEN_K,6,0)</f>
        <v>404</v>
      </c>
      <c r="I14" s="32">
        <f>ROUND(J14/(($E$4-$E$3)*1.161),0)</f>
        <v>106</v>
      </c>
      <c r="J14" s="51">
        <f>VLOOKUP(CONCATENATE(E3,"-",E4,"-",E5),LEISTUNGEN_K,5,0)</f>
        <v>491</v>
      </c>
      <c r="K14" s="34">
        <f>ROUND(L14/(($E$4-$E$3)*1.161),0)</f>
        <v>124</v>
      </c>
      <c r="L14" s="55">
        <f>VLOOKUP(CONCATENATE(E3,"-",E4,"-",E5),LEISTUNGEN_K,4,0)</f>
        <v>578</v>
      </c>
      <c r="M14" s="36">
        <f>ROUND(N14/(($E$4-$E$3)*1.161),0)</f>
        <v>175</v>
      </c>
      <c r="N14" s="59">
        <f>VLOOKUP(CONCATENATE(E3,"-",E4,"-",E5),LEISTUNGEN_K,2,0)</f>
        <v>813</v>
      </c>
      <c r="O14" s="419" t="s">
        <v>972</v>
      </c>
    </row>
    <row r="15" spans="2:15" x14ac:dyDescent="0.25">
      <c r="B15" s="424"/>
      <c r="C15" s="426"/>
      <c r="D15" s="64" t="s">
        <v>1006</v>
      </c>
      <c r="E15" s="69"/>
      <c r="F15" s="70">
        <f>VLOOKUP(CONCATENATE(E3,"-",E4,"-",E5),LEISTUNGEN_K,14,0)</f>
        <v>277</v>
      </c>
      <c r="G15" s="31"/>
      <c r="H15" s="29">
        <f>VLOOKUP(CONCATENATE(E3,"-",E4,"-",E5),LEISTUNGEN_K,13,0)</f>
        <v>404</v>
      </c>
      <c r="I15" s="33"/>
      <c r="J15" s="52">
        <f>VLOOKUP(CONCATENATE(E3,"-",E4,"-",E5),LEISTUNGEN_K,12,0)</f>
        <v>491</v>
      </c>
      <c r="K15" s="35"/>
      <c r="L15" s="56">
        <f>VLOOKUP(CONCATENATE(E3,"-",E4,"-",E5),LEISTUNGEN_K,11,0)</f>
        <v>578</v>
      </c>
      <c r="M15" s="37"/>
      <c r="N15" s="60">
        <f>VLOOKUP(CONCATENATE(E3,"-",E4,"-",E5),LEISTUNGEN_K,9,0)</f>
        <v>813</v>
      </c>
      <c r="O15" s="420"/>
    </row>
    <row r="16" spans="2:15" x14ac:dyDescent="0.25">
      <c r="B16" s="423" t="s">
        <v>965</v>
      </c>
      <c r="C16" s="425" t="s">
        <v>993</v>
      </c>
      <c r="D16" s="63" t="s">
        <v>1005</v>
      </c>
      <c r="E16" s="67">
        <f>ROUND(F16/(($E$4-$E$3)*1.161),0)</f>
        <v>92</v>
      </c>
      <c r="F16" s="68">
        <f>ROUND(F$14*1.55,0)</f>
        <v>429</v>
      </c>
      <c r="G16" s="30">
        <f>ROUND(H16/(($E$4-$E$3)*1.161),0)</f>
        <v>135</v>
      </c>
      <c r="H16" s="48">
        <f>ROUND(H$14*1.55,0)</f>
        <v>626</v>
      </c>
      <c r="I16" s="32">
        <f>ROUND(J16/(($E$4-$E$3)*1.161),0)</f>
        <v>165</v>
      </c>
      <c r="J16" s="51">
        <f>ROUND(J$14*1.56,0)</f>
        <v>766</v>
      </c>
      <c r="K16" s="34">
        <f>ROUND(L16/(($E$4-$E$3)*1.161),0)</f>
        <v>194</v>
      </c>
      <c r="L16" s="55">
        <f>ROUND(L$14*1.56,0)</f>
        <v>902</v>
      </c>
      <c r="M16" s="36">
        <f>ROUND(N16/(($E$4-$E$3)*1.161),0)</f>
        <v>278</v>
      </c>
      <c r="N16" s="59">
        <f>ROUND(N$14*1.59,0)</f>
        <v>1293</v>
      </c>
      <c r="O16" s="419" t="s">
        <v>973</v>
      </c>
    </row>
    <row r="17" spans="2:15" x14ac:dyDescent="0.25">
      <c r="B17" s="424"/>
      <c r="C17" s="426"/>
      <c r="D17" s="64" t="s">
        <v>1006</v>
      </c>
      <c r="E17" s="69"/>
      <c r="F17" s="70">
        <f>ROUND(F$15*1.55,0)</f>
        <v>429</v>
      </c>
      <c r="G17" s="31"/>
      <c r="H17" s="29">
        <f>ROUND(H$15*1.55,0)</f>
        <v>626</v>
      </c>
      <c r="I17" s="33"/>
      <c r="J17" s="52">
        <f>ROUND(J$15*1.56,0)</f>
        <v>766</v>
      </c>
      <c r="K17" s="35"/>
      <c r="L17" s="56">
        <f>ROUND(L$15*1.56,0)</f>
        <v>902</v>
      </c>
      <c r="M17" s="37"/>
      <c r="N17" s="60">
        <f>ROUND(N$15*1.59,0)</f>
        <v>1293</v>
      </c>
      <c r="O17" s="420"/>
    </row>
    <row r="18" spans="2:15" x14ac:dyDescent="0.25">
      <c r="B18" s="423" t="s">
        <v>989</v>
      </c>
      <c r="C18" s="425" t="s">
        <v>994</v>
      </c>
      <c r="D18" s="63" t="s">
        <v>1005</v>
      </c>
      <c r="E18" s="67">
        <f>ROUND(F18/(($E$4-$E$3)*1.161),0)</f>
        <v>123</v>
      </c>
      <c r="F18" s="68">
        <f>ROUND(F$14*2.06,0)</f>
        <v>571</v>
      </c>
      <c r="G18" s="30">
        <f>ROUND(H18/(($E$4-$E$3)*1.161),0)</f>
        <v>179</v>
      </c>
      <c r="H18" s="48">
        <f>ROUND(H$14*2.06,0)</f>
        <v>832</v>
      </c>
      <c r="I18" s="32">
        <f>ROUND(J18/(($E$4-$E$3)*1.161),0)</f>
        <v>220</v>
      </c>
      <c r="J18" s="51">
        <f>ROUND(J$14*2.08,0)</f>
        <v>1021</v>
      </c>
      <c r="K18" s="34">
        <f>ROUND(L18/(($E$4-$E$3)*1.161),0)</f>
        <v>259</v>
      </c>
      <c r="L18" s="55">
        <f>ROUND(L$14*2.08,0)</f>
        <v>1202</v>
      </c>
      <c r="M18" s="36">
        <f>ROUND(N18/(($E$4-$E$3)*1.161),0)</f>
        <v>369</v>
      </c>
      <c r="N18" s="59">
        <f>ROUND(N$14*2.11,0)</f>
        <v>1715</v>
      </c>
      <c r="O18" s="419" t="s">
        <v>974</v>
      </c>
    </row>
    <row r="19" spans="2:15" x14ac:dyDescent="0.25">
      <c r="B19" s="424"/>
      <c r="C19" s="426"/>
      <c r="D19" s="64" t="s">
        <v>1006</v>
      </c>
      <c r="E19" s="69"/>
      <c r="F19" s="70">
        <f>ROUND(F$15*2.06,0)</f>
        <v>571</v>
      </c>
      <c r="G19" s="31"/>
      <c r="H19" s="29">
        <f>ROUND(H$15*2.06,0)</f>
        <v>832</v>
      </c>
      <c r="I19" s="33"/>
      <c r="J19" s="52">
        <f>ROUND(J$15*2.08,0)</f>
        <v>1021</v>
      </c>
      <c r="K19" s="35"/>
      <c r="L19" s="56">
        <f>ROUND(L$15*2.08,0)</f>
        <v>1202</v>
      </c>
      <c r="M19" s="37"/>
      <c r="N19" s="60">
        <f>ROUND(N$15*2.11,0)</f>
        <v>1715</v>
      </c>
      <c r="O19" s="420"/>
    </row>
    <row r="20" spans="2:15" x14ac:dyDescent="0.25">
      <c r="B20" s="423" t="s">
        <v>966</v>
      </c>
      <c r="C20" s="425" t="s">
        <v>995</v>
      </c>
      <c r="D20" s="63" t="s">
        <v>1005</v>
      </c>
      <c r="E20" s="67">
        <f>ROUND(F20/(($E$4-$E$3)*1.161),0)</f>
        <v>155</v>
      </c>
      <c r="F20" s="68">
        <f>ROUND(F$14*2.6,0)</f>
        <v>720</v>
      </c>
      <c r="G20" s="30">
        <f>ROUND(H20/(($E$4-$E$3)*1.161),0)</f>
        <v>226</v>
      </c>
      <c r="H20" s="48">
        <f>ROUND(H$14*2.6,0)</f>
        <v>1050</v>
      </c>
      <c r="I20" s="32">
        <f>ROUND(J20/(($E$4-$E$3)*1.161),0)</f>
        <v>280</v>
      </c>
      <c r="J20" s="51">
        <f>ROUND(J$14*2.65,0)</f>
        <v>1301</v>
      </c>
      <c r="K20" s="34">
        <f>ROUND(L20/(($E$4-$E$3)*1.161),0)</f>
        <v>330</v>
      </c>
      <c r="L20" s="55">
        <f>ROUND(L$14*2.65,0)</f>
        <v>1532</v>
      </c>
      <c r="M20" s="36">
        <f>ROUND(N20/(($E$4-$E$3)*1.161),0)</f>
        <v>473</v>
      </c>
      <c r="N20" s="59">
        <f>ROUND(N$14*2.7,0)</f>
        <v>2195</v>
      </c>
      <c r="O20" s="419" t="s">
        <v>975</v>
      </c>
    </row>
    <row r="21" spans="2:15" x14ac:dyDescent="0.25">
      <c r="B21" s="424"/>
      <c r="C21" s="426"/>
      <c r="D21" s="64" t="s">
        <v>1006</v>
      </c>
      <c r="E21" s="69"/>
      <c r="F21" s="70">
        <f>ROUND(F$15*2.6,0)</f>
        <v>720</v>
      </c>
      <c r="G21" s="31"/>
      <c r="H21" s="29">
        <f>ROUND(H$15*2.6,0)</f>
        <v>1050</v>
      </c>
      <c r="I21" s="33"/>
      <c r="J21" s="52">
        <f>ROUND(J$15*2.65,0)</f>
        <v>1301</v>
      </c>
      <c r="K21" s="35"/>
      <c r="L21" s="56">
        <f t="shared" ref="L21" si="0">ROUND(L$15*2.65,0)</f>
        <v>1532</v>
      </c>
      <c r="M21" s="37"/>
      <c r="N21" s="60">
        <f>ROUND(N$15*2.7,0)</f>
        <v>2195</v>
      </c>
      <c r="O21" s="420"/>
    </row>
    <row r="22" spans="2:15" x14ac:dyDescent="0.25">
      <c r="B22" s="423" t="s">
        <v>990</v>
      </c>
      <c r="C22" s="425" t="s">
        <v>996</v>
      </c>
      <c r="D22" s="63" t="s">
        <v>1005</v>
      </c>
      <c r="E22" s="67">
        <f>ROUND(F22/(($E$4-$E$3)*1.161),0)</f>
        <v>185</v>
      </c>
      <c r="F22" s="68">
        <f>ROUND(F$14*3.1,0)</f>
        <v>859</v>
      </c>
      <c r="G22" s="30">
        <f>ROUND(H22/(($E$4-$E$3)*1.161),0)</f>
        <v>270</v>
      </c>
      <c r="H22" s="48">
        <f>ROUND(H$14*3.1,0)</f>
        <v>1252</v>
      </c>
      <c r="I22" s="32">
        <f>ROUND(J22/(($E$4-$E$3)*1.161),0)</f>
        <v>331</v>
      </c>
      <c r="J22" s="51">
        <f>ROUND(J$14*3.13,0)</f>
        <v>1537</v>
      </c>
      <c r="K22" s="34">
        <f>ROUND(L22/(($E$4-$E$3)*1.161),0)</f>
        <v>390</v>
      </c>
      <c r="L22" s="55">
        <f>ROUND(L$14*3.13,0)</f>
        <v>1809</v>
      </c>
      <c r="M22" s="36">
        <f>ROUND(N22/(($E$4-$E$3)*1.161),0)</f>
        <v>557</v>
      </c>
      <c r="N22" s="59">
        <f>ROUND(N$14*3.18,0)</f>
        <v>2585</v>
      </c>
      <c r="O22" s="419" t="s">
        <v>976</v>
      </c>
    </row>
    <row r="23" spans="2:15" x14ac:dyDescent="0.25">
      <c r="B23" s="424"/>
      <c r="C23" s="426"/>
      <c r="D23" s="64" t="s">
        <v>1006</v>
      </c>
      <c r="E23" s="69"/>
      <c r="F23" s="70">
        <f>ROUND(F$15*3.1,0)</f>
        <v>859</v>
      </c>
      <c r="G23" s="31"/>
      <c r="H23" s="29">
        <f>ROUND(H$15*3.1,0)</f>
        <v>1252</v>
      </c>
      <c r="I23" s="33"/>
      <c r="J23" s="52">
        <f>ROUND(J$15*3.13,0)</f>
        <v>1537</v>
      </c>
      <c r="K23" s="35"/>
      <c r="L23" s="56">
        <f t="shared" ref="L23" si="1">ROUND(L$15*3.13,0)</f>
        <v>1809</v>
      </c>
      <c r="M23" s="37"/>
      <c r="N23" s="60">
        <f>ROUND(N$15*3.18,0)</f>
        <v>2585</v>
      </c>
      <c r="O23" s="420"/>
    </row>
    <row r="24" spans="2:15" x14ac:dyDescent="0.25">
      <c r="O24" s="94" t="str">
        <f>VLOOKUP(23,TXT_K,$G$3,0)</f>
        <v>Leistung nach DIN EN 16430</v>
      </c>
    </row>
    <row r="25" spans="2:15" x14ac:dyDescent="0.25"/>
    <row r="26" spans="2:15" ht="21" x14ac:dyDescent="0.35">
      <c r="B26" s="15" t="str">
        <f>VLOOKUP(22,TXT_K,$G$3,0)</f>
        <v>Heizmedium  (PWW)</v>
      </c>
      <c r="C26" s="15"/>
      <c r="D26" s="15"/>
      <c r="E26" s="15"/>
      <c r="F26" s="16" t="str">
        <f>CONCATENATE(C3,"°C"," / ",C4,"°C")</f>
        <v>50°C / 40°C</v>
      </c>
      <c r="G26" s="16"/>
      <c r="H26" s="16"/>
      <c r="I26" s="16"/>
      <c r="J26" s="15"/>
      <c r="K26" s="15"/>
      <c r="L26" s="15"/>
      <c r="M26" s="17" t="str">
        <f>VLOOKUP(8,TXT_K,$G$3,0)</f>
        <v>Raumtemperatur</v>
      </c>
      <c r="N26" s="17"/>
      <c r="O26" s="18" t="str">
        <f>CONCATENATE("+",C5,"°C")</f>
        <v>+20°C</v>
      </c>
    </row>
    <row r="27" spans="2:15" s="74" customFormat="1" ht="12" x14ac:dyDescent="0.2"/>
    <row r="28" spans="2:15" s="74" customFormat="1" ht="12" x14ac:dyDescent="0.2">
      <c r="B28" s="74" t="str">
        <f>VLOOKUP(2,TXT_K,$G$3,0)</f>
        <v>Modell</v>
      </c>
      <c r="F28" s="422" t="str">
        <f>VLOOKUP(7,TXT_K,$G$3,0)</f>
        <v>Leistungsprozent</v>
      </c>
      <c r="G28" s="422"/>
      <c r="H28" s="422"/>
      <c r="I28" s="422"/>
      <c r="J28" s="422"/>
      <c r="K28" s="422"/>
      <c r="L28" s="422"/>
      <c r="M28" s="422"/>
      <c r="N28" s="422"/>
    </row>
    <row r="29" spans="2:15" ht="21" x14ac:dyDescent="0.35">
      <c r="B29" s="7" t="s">
        <v>997</v>
      </c>
      <c r="E29" s="77"/>
      <c r="F29" s="78">
        <v>0.3</v>
      </c>
      <c r="G29" s="11"/>
      <c r="H29" s="11">
        <v>0.4</v>
      </c>
      <c r="I29" s="8"/>
      <c r="J29" s="8">
        <v>0.5</v>
      </c>
      <c r="K29" s="9"/>
      <c r="L29" s="9">
        <v>0.6</v>
      </c>
      <c r="M29" s="10"/>
      <c r="N29" s="10">
        <v>1</v>
      </c>
      <c r="O29" s="6"/>
    </row>
    <row r="30" spans="2:15" s="74" customFormat="1" ht="28.5" customHeight="1" x14ac:dyDescent="0.2">
      <c r="B30" s="85" t="str">
        <f>VLOOKUP(3,TXT_K,$G$3,0)</f>
        <v>Wanne  Bk [mm]</v>
      </c>
      <c r="C30" s="85" t="str">
        <f>VLOOKUP(4,TXT_K,$G$3,0)</f>
        <v>Element He [mm]</v>
      </c>
      <c r="E30" s="421" t="str">
        <f>VLOOKUP(21,TXT_K,$G$3,0)</f>
        <v>Heizleistung [W]</v>
      </c>
      <c r="F30" s="421"/>
      <c r="G30" s="421"/>
      <c r="H30" s="421"/>
      <c r="I30" s="421"/>
      <c r="J30" s="421"/>
      <c r="K30" s="421"/>
      <c r="L30" s="421"/>
      <c r="M30" s="421"/>
      <c r="N30" s="421"/>
      <c r="O30" s="66" t="s">
        <v>970</v>
      </c>
    </row>
    <row r="31" spans="2:15" x14ac:dyDescent="0.25">
      <c r="B31" s="12" t="s">
        <v>964</v>
      </c>
      <c r="C31" s="46" t="s">
        <v>991</v>
      </c>
      <c r="D31" s="63" t="s">
        <v>1005</v>
      </c>
      <c r="E31" s="79">
        <f t="shared" ref="E31:G36" si="2">ROUND(F31/(($C$3-$C$4)*1.161),0)</f>
        <v>36</v>
      </c>
      <c r="F31" s="80">
        <f>ROUND(F32*0.5,0)</f>
        <v>419</v>
      </c>
      <c r="G31" s="38">
        <f t="shared" si="2"/>
        <v>48</v>
      </c>
      <c r="H31" s="49">
        <f>ROUND(H32*0.5,0)</f>
        <v>563</v>
      </c>
      <c r="I31" s="40">
        <f t="shared" ref="I31:I36" si="3">ROUND(J31/(($C$3-$C$4)*1.161),0)</f>
        <v>56</v>
      </c>
      <c r="J31" s="53">
        <f>ROUND(J32*0.5,0)</f>
        <v>652</v>
      </c>
      <c r="K31" s="42">
        <f t="shared" ref="K31:K36" si="4">ROUND(L31/(($C$3-$C$4)*1.161),0)</f>
        <v>64</v>
      </c>
      <c r="L31" s="57">
        <f t="shared" ref="L31:N31" si="5">ROUND(L32*0.5,0)</f>
        <v>741</v>
      </c>
      <c r="M31" s="44">
        <f t="shared" ref="M31:M36" si="6">ROUND(N31/(($C$3-$C$4)*1.161),0)</f>
        <v>81</v>
      </c>
      <c r="N31" s="61">
        <f t="shared" si="5"/>
        <v>939</v>
      </c>
      <c r="O31" s="23" t="s">
        <v>971</v>
      </c>
    </row>
    <row r="32" spans="2:15" x14ac:dyDescent="0.25">
      <c r="B32" s="12" t="s">
        <v>988</v>
      </c>
      <c r="C32" s="46" t="s">
        <v>992</v>
      </c>
      <c r="D32" s="63" t="s">
        <v>1005</v>
      </c>
      <c r="E32" s="79">
        <f t="shared" si="2"/>
        <v>72</v>
      </c>
      <c r="F32" s="80">
        <f>ROUND(SUM('BASE-HEIZ'!G3)*VLOOKUP(((C3+C4)/2)-C5,FAKTOR_K,2,0),0)</f>
        <v>838</v>
      </c>
      <c r="G32" s="38">
        <f t="shared" si="2"/>
        <v>97</v>
      </c>
      <c r="H32" s="49">
        <f>ROUND(SUM('BASE-HEIZ'!F3)*VLOOKUP(((C3+C4)/2)-C5,FAKTOR_K,2,0),0)</f>
        <v>1125</v>
      </c>
      <c r="I32" s="40">
        <f t="shared" si="3"/>
        <v>112</v>
      </c>
      <c r="J32" s="53">
        <f>ROUND(SUM('BASE-HEIZ'!E3)*VLOOKUP(((C3+C4)/2)-C5,FAKTOR_K,2,0),0)</f>
        <v>1303</v>
      </c>
      <c r="K32" s="42">
        <f t="shared" si="4"/>
        <v>128</v>
      </c>
      <c r="L32" s="57">
        <f>ROUND(SUM('BASE-HEIZ'!D3)*VLOOKUP(((C3+C4)/2)-C5,FAKTOR_K,2,0),0)</f>
        <v>1481</v>
      </c>
      <c r="M32" s="44">
        <f t="shared" si="6"/>
        <v>162</v>
      </c>
      <c r="N32" s="61">
        <f>ROUND(SUM('BASE-HEIZ'!B3)*VLOOKUP(((C3+C4)/2)-C5,FAKTOR_K,2,0),0)</f>
        <v>1878</v>
      </c>
      <c r="O32" s="24" t="s">
        <v>972</v>
      </c>
    </row>
    <row r="33" spans="2:15" x14ac:dyDescent="0.25">
      <c r="B33" s="12" t="s">
        <v>965</v>
      </c>
      <c r="C33" s="46" t="s">
        <v>993</v>
      </c>
      <c r="D33" s="63" t="s">
        <v>1005</v>
      </c>
      <c r="E33" s="79">
        <f t="shared" si="2"/>
        <v>108</v>
      </c>
      <c r="F33" s="80">
        <f>ROUND(F32*1.5,0)</f>
        <v>1257</v>
      </c>
      <c r="G33" s="38">
        <f t="shared" si="2"/>
        <v>145</v>
      </c>
      <c r="H33" s="49">
        <f>ROUND(H32*1.5,0)</f>
        <v>1688</v>
      </c>
      <c r="I33" s="40">
        <f t="shared" si="3"/>
        <v>168</v>
      </c>
      <c r="J33" s="53">
        <f t="shared" ref="J33:N33" si="7">ROUND(J32*1.5,0)</f>
        <v>1955</v>
      </c>
      <c r="K33" s="42">
        <f t="shared" si="4"/>
        <v>191</v>
      </c>
      <c r="L33" s="57">
        <f t="shared" si="7"/>
        <v>2222</v>
      </c>
      <c r="M33" s="44">
        <f t="shared" si="6"/>
        <v>243</v>
      </c>
      <c r="N33" s="61">
        <f t="shared" si="7"/>
        <v>2817</v>
      </c>
      <c r="O33" s="23" t="s">
        <v>973</v>
      </c>
    </row>
    <row r="34" spans="2:15" x14ac:dyDescent="0.25">
      <c r="B34" s="12" t="s">
        <v>989</v>
      </c>
      <c r="C34" s="46" t="s">
        <v>994</v>
      </c>
      <c r="D34" s="63" t="s">
        <v>1005</v>
      </c>
      <c r="E34" s="79">
        <f t="shared" si="2"/>
        <v>144</v>
      </c>
      <c r="F34" s="80">
        <f>ROUND(F32*2,0)</f>
        <v>1676</v>
      </c>
      <c r="G34" s="38">
        <f t="shared" si="2"/>
        <v>194</v>
      </c>
      <c r="H34" s="49">
        <f>ROUND(H32*2,0)</f>
        <v>2250</v>
      </c>
      <c r="I34" s="40">
        <f t="shared" si="3"/>
        <v>224</v>
      </c>
      <c r="J34" s="53">
        <f t="shared" ref="J34:N34" si="8">ROUND(J32*2,0)</f>
        <v>2606</v>
      </c>
      <c r="K34" s="42">
        <f t="shared" si="4"/>
        <v>255</v>
      </c>
      <c r="L34" s="57">
        <f t="shared" si="8"/>
        <v>2962</v>
      </c>
      <c r="M34" s="44">
        <f t="shared" si="6"/>
        <v>324</v>
      </c>
      <c r="N34" s="61">
        <f t="shared" si="8"/>
        <v>3756</v>
      </c>
      <c r="O34" s="23" t="s">
        <v>974</v>
      </c>
    </row>
    <row r="35" spans="2:15" x14ac:dyDescent="0.25">
      <c r="B35" s="12" t="s">
        <v>966</v>
      </c>
      <c r="C35" s="46" t="s">
        <v>995</v>
      </c>
      <c r="D35" s="63" t="s">
        <v>1005</v>
      </c>
      <c r="E35" s="79">
        <f t="shared" si="2"/>
        <v>180</v>
      </c>
      <c r="F35" s="80">
        <f>ROUND(F32*2.5,0)</f>
        <v>2095</v>
      </c>
      <c r="G35" s="38">
        <f t="shared" si="2"/>
        <v>242</v>
      </c>
      <c r="H35" s="49">
        <f>ROUND(H32*2.5,0)</f>
        <v>2813</v>
      </c>
      <c r="I35" s="40">
        <f t="shared" si="3"/>
        <v>281</v>
      </c>
      <c r="J35" s="53">
        <f t="shared" ref="J35:N35" si="9">ROUND(J32*2.5,0)</f>
        <v>3258</v>
      </c>
      <c r="K35" s="42">
        <f t="shared" si="4"/>
        <v>319</v>
      </c>
      <c r="L35" s="57">
        <f t="shared" si="9"/>
        <v>3703</v>
      </c>
      <c r="M35" s="44">
        <f t="shared" si="6"/>
        <v>404</v>
      </c>
      <c r="N35" s="61">
        <f t="shared" si="9"/>
        <v>4695</v>
      </c>
      <c r="O35" s="23" t="s">
        <v>975</v>
      </c>
    </row>
    <row r="36" spans="2:15" x14ac:dyDescent="0.25">
      <c r="B36" s="13" t="s">
        <v>990</v>
      </c>
      <c r="C36" s="47" t="s">
        <v>996</v>
      </c>
      <c r="D36" s="65" t="s">
        <v>1005</v>
      </c>
      <c r="E36" s="81">
        <f t="shared" si="2"/>
        <v>217</v>
      </c>
      <c r="F36" s="82">
        <f>ROUND(F32*3,0)</f>
        <v>2514</v>
      </c>
      <c r="G36" s="39">
        <f t="shared" si="2"/>
        <v>291</v>
      </c>
      <c r="H36" s="50">
        <f>ROUND(H32*3,0)</f>
        <v>3375</v>
      </c>
      <c r="I36" s="41">
        <f t="shared" si="3"/>
        <v>337</v>
      </c>
      <c r="J36" s="54">
        <f t="shared" ref="J36:N36" si="10">ROUND(J32*3,0)</f>
        <v>3909</v>
      </c>
      <c r="K36" s="43">
        <f t="shared" si="4"/>
        <v>383</v>
      </c>
      <c r="L36" s="58">
        <f t="shared" si="10"/>
        <v>4443</v>
      </c>
      <c r="M36" s="45">
        <f t="shared" si="6"/>
        <v>485</v>
      </c>
      <c r="N36" s="62">
        <f t="shared" si="10"/>
        <v>5634</v>
      </c>
      <c r="O36" s="25" t="s">
        <v>976</v>
      </c>
    </row>
    <row r="37" spans="2:15" s="74" customFormat="1" ht="12" x14ac:dyDescent="0.2">
      <c r="B37" s="90"/>
      <c r="C37" s="91"/>
      <c r="E37" s="92"/>
      <c r="F37" s="93"/>
      <c r="G37" s="93"/>
      <c r="H37" s="93"/>
      <c r="I37" s="92"/>
      <c r="J37" s="93"/>
      <c r="K37" s="92"/>
      <c r="L37" s="93"/>
      <c r="M37" s="92"/>
      <c r="N37" s="93"/>
      <c r="O37" s="94" t="str">
        <f>VLOOKUP(23,TXT_K,$G$3,0)</f>
        <v>Leistung nach DIN EN 16430</v>
      </c>
    </row>
    <row r="38" spans="2:15" s="74" customFormat="1" ht="12" x14ac:dyDescent="0.2">
      <c r="B38" s="76" t="str">
        <f>VLOOKUP(41,TXT_K,$G$3,0)</f>
        <v>Leistungsdaten mit Abdeckung, Rollrost Typ 941-17-B (f.Q. 70%)</v>
      </c>
      <c r="C38" s="91"/>
      <c r="E38" s="92"/>
      <c r="F38" s="93"/>
      <c r="G38" s="93"/>
      <c r="H38" s="93"/>
      <c r="I38" s="92"/>
      <c r="J38" s="93"/>
      <c r="K38" s="92"/>
      <c r="L38" s="93"/>
      <c r="M38" s="92"/>
      <c r="N38" s="93"/>
      <c r="O38" s="94"/>
    </row>
    <row r="39" spans="2:15" s="74" customFormat="1" ht="12" x14ac:dyDescent="0.2">
      <c r="B39" s="76" t="str">
        <f>VLOOKUP(42,TXT_K,$G$3,0)</f>
        <v>Bei abweichenden Abdeckungen, ist mit einer Leistungsminderung zu rechnen</v>
      </c>
      <c r="C39" s="91"/>
      <c r="E39" s="92"/>
      <c r="F39" s="93"/>
      <c r="G39" s="93"/>
      <c r="H39" s="93"/>
      <c r="I39" s="92"/>
      <c r="J39" s="93"/>
      <c r="K39" s="92"/>
      <c r="L39" s="93"/>
      <c r="M39" s="92"/>
      <c r="N39" s="93"/>
      <c r="O39" s="94"/>
    </row>
    <row r="40" spans="2:15" s="74" customFormat="1" ht="12" x14ac:dyDescent="0.2">
      <c r="B40" s="76" t="str">
        <f>VLOOKUP(28,TXT_K,$G$3,0)</f>
        <v>Minimale Wassermassenströme von ca. 20 kg/h sollen eingehalten werden</v>
      </c>
    </row>
    <row r="41" spans="2:15" ht="9.75" customHeight="1" x14ac:dyDescent="0.25"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2:15" x14ac:dyDescent="0.25">
      <c r="B42" s="75" t="str">
        <f>VLOOKUP(36,TXT_K,$G$3,0)</f>
        <v>N2: Nasse Kühlung - 2-Leiter-System mit Ablaufwanne und Ablaufstutzen für Kondensat</v>
      </c>
      <c r="C42" s="6"/>
      <c r="D42" s="6"/>
      <c r="E42" s="6"/>
      <c r="F42" s="6"/>
      <c r="G42" s="6"/>
      <c r="H42" s="6"/>
      <c r="I42" s="6"/>
      <c r="J42" s="6"/>
      <c r="K42" s="6"/>
      <c r="M42" s="6"/>
      <c r="N42" s="6"/>
      <c r="O42" s="6"/>
    </row>
    <row r="43" spans="2:15" x14ac:dyDescent="0.25">
      <c r="B43" s="76" t="str">
        <f>VLOOKUP(5,TXT_K,$G$3,0)</f>
        <v>Qt [W]: Kühlleistung gesamt</v>
      </c>
      <c r="C43" s="6"/>
      <c r="D43" s="6"/>
      <c r="E43" s="6"/>
      <c r="F43" s="6"/>
      <c r="G43" s="6"/>
      <c r="H43" s="6"/>
      <c r="I43" s="6"/>
      <c r="M43" s="6"/>
      <c r="N43" s="6"/>
      <c r="O43" s="94" t="str">
        <f>VLOOKUP(26,TXT_K,$G$3,0)</f>
        <v>Querstromventilator Typ EC65  24VDC</v>
      </c>
    </row>
    <row r="44" spans="2:15" x14ac:dyDescent="0.25">
      <c r="B44" s="76" t="str">
        <f>VLOOKUP(6,TXT_K,$G$3,0)</f>
        <v>Qs [W]: Kühlleistung sensibel</v>
      </c>
      <c r="C44" s="6"/>
      <c r="D44" s="6"/>
      <c r="E44" s="6"/>
      <c r="F44" s="6"/>
      <c r="G44" s="6"/>
      <c r="H44" s="6"/>
      <c r="I44" s="6"/>
      <c r="J44" s="6"/>
      <c r="K44" s="6"/>
      <c r="M44" s="6"/>
      <c r="N44" s="6"/>
      <c r="O44" s="98" t="str">
        <f>VLOOKUP(10,TXT_K,$G$3,0)</f>
        <v>M: Anzahl Motoren</v>
      </c>
    </row>
    <row r="45" spans="2:15" x14ac:dyDescent="0.25">
      <c r="B45" s="74" t="str">
        <f>VLOOKUP(38,TXT_K,$G$3,0)</f>
        <v>X: Erweiterung des Bodenkanals um ein Regulierungsmodul zu integrieren</v>
      </c>
      <c r="C45" s="6"/>
      <c r="D45" s="6"/>
      <c r="E45" s="6"/>
      <c r="F45" s="6"/>
      <c r="G45" s="6"/>
      <c r="H45" s="6"/>
      <c r="I45" s="6"/>
      <c r="J45" s="6"/>
      <c r="K45" s="6"/>
      <c r="M45" s="6"/>
      <c r="N45" s="6"/>
      <c r="O45" s="98" t="str">
        <f>VLOOKUP(14,TXT_K,$G$3,0)</f>
        <v>QVw: Anzahl Ventilatoren-Walzen</v>
      </c>
    </row>
    <row r="46" spans="2:15" x14ac:dyDescent="0.25">
      <c r="B46" s="74" t="str">
        <f>VLOOKUP(33,TXT_K,$G$3,0)</f>
        <v>Die Zwischenlängen werden durch Leerstücke angepasst.</v>
      </c>
      <c r="C46" s="6"/>
      <c r="D46" s="6"/>
      <c r="E46" s="6"/>
      <c r="F46" s="6"/>
      <c r="G46" s="6"/>
      <c r="H46" s="6"/>
      <c r="I46" s="6"/>
      <c r="J46" s="6"/>
      <c r="K46" s="6"/>
      <c r="M46" s="6"/>
      <c r="N46" s="6"/>
      <c r="O46" s="98" t="str">
        <f>VLOOKUP(15,TXT_K,$G$3,0)</f>
        <v>ṁ: Wassermassenstrom [kg/h]</v>
      </c>
    </row>
    <row r="47" spans="2:15" x14ac:dyDescent="0.25">
      <c r="B47" s="74" t="str">
        <f>VLOOKUP(29,TXT_K,$G$3,0)</f>
        <v>Bei Veränderungen der Standardteile können Abweichungen entstehen</v>
      </c>
    </row>
    <row r="48" spans="2:15" x14ac:dyDescent="0.25"/>
    <row r="49" spans="15:15" x14ac:dyDescent="0.25"/>
    <row r="50" spans="15:15" x14ac:dyDescent="0.25"/>
    <row r="51" spans="15:15" x14ac:dyDescent="0.25"/>
    <row r="52" spans="15:15" x14ac:dyDescent="0.25"/>
    <row r="53" spans="15:15" x14ac:dyDescent="0.25"/>
    <row r="54" spans="15:15" x14ac:dyDescent="0.25">
      <c r="O54" s="73" t="s">
        <v>1050</v>
      </c>
    </row>
    <row r="55" spans="15:15" x14ac:dyDescent="0.25"/>
  </sheetData>
  <sheetProtection algorithmName="SHA-512" hashValue="8sc/pngBl8guaECmg6/l2fqpEjcNpuUrSwxPTpRESGEBZ4oktRvKmGB5u87vp9rRA9kKKYXe8+JXgxF9aij0hw==" saltValue="sWmQXjyvoD53IfGTb0UFwA==" spinCount="100000" sheet="1" objects="1" scenarios="1" selectLockedCells="1"/>
  <protectedRanges>
    <protectedRange sqref="C3:H5" name="Bereich1"/>
  </protectedRanges>
  <mergeCells count="32">
    <mergeCell ref="G2:H2"/>
    <mergeCell ref="G3:H5"/>
    <mergeCell ref="C2:D2"/>
    <mergeCell ref="C3:D3"/>
    <mergeCell ref="C4:D4"/>
    <mergeCell ref="C5:D5"/>
    <mergeCell ref="E2:F2"/>
    <mergeCell ref="E3:F3"/>
    <mergeCell ref="E4:F4"/>
    <mergeCell ref="E5:F5"/>
    <mergeCell ref="B14:B15"/>
    <mergeCell ref="C14:C15"/>
    <mergeCell ref="O14:O15"/>
    <mergeCell ref="F9:N9"/>
    <mergeCell ref="E11:N11"/>
    <mergeCell ref="B12:B13"/>
    <mergeCell ref="C12:C13"/>
    <mergeCell ref="O12:O13"/>
    <mergeCell ref="B16:B17"/>
    <mergeCell ref="C16:C17"/>
    <mergeCell ref="O16:O17"/>
    <mergeCell ref="B18:B19"/>
    <mergeCell ref="C18:C19"/>
    <mergeCell ref="O18:O19"/>
    <mergeCell ref="F28:N28"/>
    <mergeCell ref="E30:N30"/>
    <mergeCell ref="B20:B21"/>
    <mergeCell ref="C20:C21"/>
    <mergeCell ref="O20:O21"/>
    <mergeCell ref="B22:B23"/>
    <mergeCell ref="C22:C23"/>
    <mergeCell ref="O22:O23"/>
  </mergeCells>
  <conditionalFormatting sqref="C3:D5">
    <cfRule type="expression" dxfId="235" priority="3">
      <formula>$J$3&lt;&gt;""</formula>
    </cfRule>
  </conditionalFormatting>
  <conditionalFormatting sqref="E3:F5">
    <cfRule type="expression" dxfId="234" priority="1">
      <formula>$J$4&lt;&gt;""</formula>
    </cfRule>
  </conditionalFormatting>
  <dataValidations count="7">
    <dataValidation type="whole" allowBlank="1" showInputMessage="1" showErrorMessage="1" sqref="C3:D3" xr:uid="{F3C18DBF-01DC-49A7-A70B-A323C4E75D48}">
      <formula1>30</formula1>
      <formula2>90</formula2>
    </dataValidation>
    <dataValidation type="whole" allowBlank="1" showInputMessage="1" showErrorMessage="1" sqref="C4:D4" xr:uid="{A662A909-4C0E-4F29-9958-E1E80C7E62F7}">
      <formula1>25</formula1>
      <formula2>85</formula2>
    </dataValidation>
    <dataValidation type="whole" allowBlank="1" showInputMessage="1" showErrorMessage="1" sqref="C5:D5" xr:uid="{FA0BEE5E-F84F-4CF3-A305-D23CCD5BD2F0}">
      <formula1>15</formula1>
      <formula2>29</formula2>
    </dataValidation>
    <dataValidation type="whole" allowBlank="1" showInputMessage="1" showErrorMessage="1" sqref="E3:F3" xr:uid="{5647A2E9-A3A9-422B-AB5A-DEC3BC1BF409}">
      <formula1>4</formula1>
      <formula2>20</formula2>
    </dataValidation>
    <dataValidation type="whole" allowBlank="1" showInputMessage="1" showErrorMessage="1" sqref="E4:F4" xr:uid="{EC91C81B-1A54-4C31-AE96-4FFCC3493287}">
      <formula1>6</formula1>
      <formula2>24</formula2>
    </dataValidation>
    <dataValidation type="whole" allowBlank="1" showInputMessage="1" showErrorMessage="1" sqref="E5:F5" xr:uid="{A0DCB421-EA39-4E05-ABAD-B5F35E6B8380}">
      <formula1>20</formula1>
      <formula2>30</formula2>
    </dataValidation>
    <dataValidation type="whole" allowBlank="1" showInputMessage="1" showErrorMessage="1" sqref="G3:H5" xr:uid="{6C5024D4-95C3-4EF9-9C74-B7988E3BE1AC}">
      <formula1>2</formula1>
      <formula2>3</formula2>
    </dataValidation>
  </dataValidations>
  <pageMargins left="0.51181102362204722" right="0.31496062992125984" top="0.94488188976377963" bottom="0.55118110236220474" header="0.31496062992125984" footer="0.11811023622047245"/>
  <pageSetup paperSize="9" orientation="portrait" r:id="rId1"/>
  <headerFooter>
    <oddHeader>&amp;C&amp;G</oddHeader>
    <oddFooter>&amp;C&amp;G</oddFooter>
  </headerFooter>
  <ignoredErrors>
    <ignoredError sqref="F12:N21 F31:M36 F23:N23 F22:H22 I22:N22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6" id="{AA2B1AF5-F53C-4284-B092-0D43907AC60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E12</xm:sqref>
        </x14:conditionalFormatting>
        <x14:conditionalFormatting xmlns:xm="http://schemas.microsoft.com/office/excel/2006/main">
          <x14:cfRule type="iconSet" priority="65" id="{FE3A6F40-EB6E-402C-A073-43067686E8D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E14</xm:sqref>
        </x14:conditionalFormatting>
        <x14:conditionalFormatting xmlns:xm="http://schemas.microsoft.com/office/excel/2006/main">
          <x14:cfRule type="iconSet" priority="64" id="{2979EBE9-B4A1-4E88-955F-962F706BA77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E16</xm:sqref>
        </x14:conditionalFormatting>
        <x14:conditionalFormatting xmlns:xm="http://schemas.microsoft.com/office/excel/2006/main">
          <x14:cfRule type="iconSet" priority="63" id="{025E2EB6-F28B-4224-9FFB-7ECBE36C0D0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</xm:sqref>
        </x14:conditionalFormatting>
        <x14:conditionalFormatting xmlns:xm="http://schemas.microsoft.com/office/excel/2006/main">
          <x14:cfRule type="iconSet" priority="62" id="{B8263942-4E44-4C10-A5A0-B88A4D9D31C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</xm:sqref>
        </x14:conditionalFormatting>
        <x14:conditionalFormatting xmlns:xm="http://schemas.microsoft.com/office/excel/2006/main">
          <x14:cfRule type="iconSet" priority="61" id="{E7947A82-381E-43C2-940A-B2F073AA0FE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</xm:sqref>
        </x14:conditionalFormatting>
        <x14:conditionalFormatting xmlns:xm="http://schemas.microsoft.com/office/excel/2006/main">
          <x14:cfRule type="iconSet" priority="42" id="{13FDAC6E-DA65-4628-9883-C1CB8711C78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E31</xm:sqref>
        </x14:conditionalFormatting>
        <x14:conditionalFormatting xmlns:xm="http://schemas.microsoft.com/office/excel/2006/main">
          <x14:cfRule type="iconSet" priority="41" id="{9B1318D1-5330-4BE3-9906-68118BD82D9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</xm:sqref>
        </x14:conditionalFormatting>
        <x14:conditionalFormatting xmlns:xm="http://schemas.microsoft.com/office/excel/2006/main">
          <x14:cfRule type="iconSet" priority="40" id="{8E5DF3F1-4F0F-4BA7-B0C6-244C9386BE4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E33</xm:sqref>
        </x14:conditionalFormatting>
        <x14:conditionalFormatting xmlns:xm="http://schemas.microsoft.com/office/excel/2006/main">
          <x14:cfRule type="iconSet" priority="39" id="{13B6BF7A-AB6D-4115-8D3C-CD2E3F7C14E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</xm:sqref>
        </x14:conditionalFormatting>
        <x14:conditionalFormatting xmlns:xm="http://schemas.microsoft.com/office/excel/2006/main">
          <x14:cfRule type="iconSet" priority="38" id="{B3249C8B-EDBF-4CD5-9C64-EDAFEAFEB04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E35</xm:sqref>
        </x14:conditionalFormatting>
        <x14:conditionalFormatting xmlns:xm="http://schemas.microsoft.com/office/excel/2006/main">
          <x14:cfRule type="iconSet" priority="37" id="{3650E085-8500-4885-AE04-C9DC29B4048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E36:E39</xm:sqref>
        </x14:conditionalFormatting>
        <x14:conditionalFormatting xmlns:xm="http://schemas.microsoft.com/office/excel/2006/main">
          <x14:cfRule type="iconSet" priority="15" id="{3C23EE6A-51E3-42B8-8148-FAFD7BEF9CF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G12</xm:sqref>
        </x14:conditionalFormatting>
        <x14:conditionalFormatting xmlns:xm="http://schemas.microsoft.com/office/excel/2006/main">
          <x14:cfRule type="iconSet" priority="14" id="{649E24EA-CE70-41FA-BA19-0EC32FE493A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G14</xm:sqref>
        </x14:conditionalFormatting>
        <x14:conditionalFormatting xmlns:xm="http://schemas.microsoft.com/office/excel/2006/main">
          <x14:cfRule type="iconSet" priority="13" id="{21C6FE9F-4DE2-41B0-9829-DE6759D1EED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G16</xm:sqref>
        </x14:conditionalFormatting>
        <x14:conditionalFormatting xmlns:xm="http://schemas.microsoft.com/office/excel/2006/main">
          <x14:cfRule type="iconSet" priority="12" id="{CF5F5CB2-FA9A-41F1-AFBF-E59094A64B6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G18</xm:sqref>
        </x14:conditionalFormatting>
        <x14:conditionalFormatting xmlns:xm="http://schemas.microsoft.com/office/excel/2006/main">
          <x14:cfRule type="iconSet" priority="11" id="{2FE9D257-CB57-4F0D-9D7E-B79986EAF1E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G20</xm:sqref>
        </x14:conditionalFormatting>
        <x14:conditionalFormatting xmlns:xm="http://schemas.microsoft.com/office/excel/2006/main">
          <x14:cfRule type="iconSet" priority="10" id="{82FE6113-8391-4C3A-8F56-713EAEE6C99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G22</xm:sqref>
        </x14:conditionalFormatting>
        <x14:conditionalFormatting xmlns:xm="http://schemas.microsoft.com/office/excel/2006/main">
          <x14:cfRule type="iconSet" priority="9" id="{FC0492D5-9F75-48BA-90DF-0F188EFBA60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G31</xm:sqref>
        </x14:conditionalFormatting>
        <x14:conditionalFormatting xmlns:xm="http://schemas.microsoft.com/office/excel/2006/main">
          <x14:cfRule type="iconSet" priority="8" id="{8DA3E8AA-DE31-43A6-806B-88A85298A9A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G32</xm:sqref>
        </x14:conditionalFormatting>
        <x14:conditionalFormatting xmlns:xm="http://schemas.microsoft.com/office/excel/2006/main">
          <x14:cfRule type="iconSet" priority="7" id="{6EEEE4A0-9C4C-427D-B8C3-227ED5B5F5D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G33</xm:sqref>
        </x14:conditionalFormatting>
        <x14:conditionalFormatting xmlns:xm="http://schemas.microsoft.com/office/excel/2006/main">
          <x14:cfRule type="iconSet" priority="6" id="{7B2EF238-ACB6-4563-A1E5-A882FD80E50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G34</xm:sqref>
        </x14:conditionalFormatting>
        <x14:conditionalFormatting xmlns:xm="http://schemas.microsoft.com/office/excel/2006/main">
          <x14:cfRule type="iconSet" priority="5" id="{65915AC0-79CB-4CDD-BDF5-024148FC7D1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G35</xm:sqref>
        </x14:conditionalFormatting>
        <x14:conditionalFormatting xmlns:xm="http://schemas.microsoft.com/office/excel/2006/main">
          <x14:cfRule type="iconSet" priority="4" id="{C120441B-6425-4808-9661-3C117DD420C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G36</xm:sqref>
        </x14:conditionalFormatting>
        <x14:conditionalFormatting xmlns:xm="http://schemas.microsoft.com/office/excel/2006/main">
          <x14:cfRule type="iconSet" priority="60" id="{4B715311-197C-4084-AE54-6E836F80896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I12</xm:sqref>
        </x14:conditionalFormatting>
        <x14:conditionalFormatting xmlns:xm="http://schemas.microsoft.com/office/excel/2006/main">
          <x14:cfRule type="iconSet" priority="59" id="{0EBB5A32-9DF0-4C0E-BE28-7FD0856E09A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I14</xm:sqref>
        </x14:conditionalFormatting>
        <x14:conditionalFormatting xmlns:xm="http://schemas.microsoft.com/office/excel/2006/main">
          <x14:cfRule type="iconSet" priority="58" id="{BB1E368B-C85A-40D7-82C6-40B69BD0453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57" id="{DE09FDE5-41F5-458D-92BC-6E604780A1E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I18</xm:sqref>
        </x14:conditionalFormatting>
        <x14:conditionalFormatting xmlns:xm="http://schemas.microsoft.com/office/excel/2006/main">
          <x14:cfRule type="iconSet" priority="56" id="{AC2AB730-09D1-4552-9B30-AC87372BD16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I20</xm:sqref>
        </x14:conditionalFormatting>
        <x14:conditionalFormatting xmlns:xm="http://schemas.microsoft.com/office/excel/2006/main">
          <x14:cfRule type="iconSet" priority="55" id="{231CC5CD-ADF5-4888-B54F-74B3282BD77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I22</xm:sqref>
        </x14:conditionalFormatting>
        <x14:conditionalFormatting xmlns:xm="http://schemas.microsoft.com/office/excel/2006/main">
          <x14:cfRule type="iconSet" priority="36" id="{1D0ADF55-8AFE-4B8D-BCA9-81F39F12006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I31</xm:sqref>
        </x14:conditionalFormatting>
        <x14:conditionalFormatting xmlns:xm="http://schemas.microsoft.com/office/excel/2006/main">
          <x14:cfRule type="iconSet" priority="35" id="{5391BA98-AC77-4E4B-A5CE-0BC49681D4B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I32</xm:sqref>
        </x14:conditionalFormatting>
        <x14:conditionalFormatting xmlns:xm="http://schemas.microsoft.com/office/excel/2006/main">
          <x14:cfRule type="iconSet" priority="34" id="{F3E32239-B00A-47D7-8EA1-28C17DF4AC5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I33</xm:sqref>
        </x14:conditionalFormatting>
        <x14:conditionalFormatting xmlns:xm="http://schemas.microsoft.com/office/excel/2006/main">
          <x14:cfRule type="iconSet" priority="33" id="{4732E82B-937E-4005-8D6E-F550A65A174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I34</xm:sqref>
        </x14:conditionalFormatting>
        <x14:conditionalFormatting xmlns:xm="http://schemas.microsoft.com/office/excel/2006/main">
          <x14:cfRule type="iconSet" priority="32" id="{674B6B02-977F-4759-A922-D512431AD74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I35</xm:sqref>
        </x14:conditionalFormatting>
        <x14:conditionalFormatting xmlns:xm="http://schemas.microsoft.com/office/excel/2006/main">
          <x14:cfRule type="iconSet" priority="31" id="{A0BD670B-CD75-4063-A2CD-933EE84B611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I36</xm:sqref>
        </x14:conditionalFormatting>
        <x14:conditionalFormatting xmlns:xm="http://schemas.microsoft.com/office/excel/2006/main">
          <x14:cfRule type="iconSet" priority="18" id="{293BA2D5-80DF-4AB8-8ED7-542FF0C18A2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I37:I39</xm:sqref>
        </x14:conditionalFormatting>
        <x14:conditionalFormatting xmlns:xm="http://schemas.microsoft.com/office/excel/2006/main">
          <x14:cfRule type="iconSet" priority="54" id="{EC77DFC7-B661-4BF8-A5E4-E761FF9684C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K12</xm:sqref>
        </x14:conditionalFormatting>
        <x14:conditionalFormatting xmlns:xm="http://schemas.microsoft.com/office/excel/2006/main">
          <x14:cfRule type="iconSet" priority="53" id="{E554C48B-54CB-41A5-BEF2-825F4B72C2E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K14</xm:sqref>
        </x14:conditionalFormatting>
        <x14:conditionalFormatting xmlns:xm="http://schemas.microsoft.com/office/excel/2006/main">
          <x14:cfRule type="iconSet" priority="52" id="{217F8A67-4489-4C4C-9788-D23BF9AD865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K16</xm:sqref>
        </x14:conditionalFormatting>
        <x14:conditionalFormatting xmlns:xm="http://schemas.microsoft.com/office/excel/2006/main">
          <x14:cfRule type="iconSet" priority="51" id="{001F948F-A6E9-45E2-8A07-529970F938A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K18</xm:sqref>
        </x14:conditionalFormatting>
        <x14:conditionalFormatting xmlns:xm="http://schemas.microsoft.com/office/excel/2006/main">
          <x14:cfRule type="iconSet" priority="50" id="{FF07EE38-13E4-4B8D-857A-B9BA110683E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K20</xm:sqref>
        </x14:conditionalFormatting>
        <x14:conditionalFormatting xmlns:xm="http://schemas.microsoft.com/office/excel/2006/main">
          <x14:cfRule type="iconSet" priority="49" id="{1E92D144-A83C-4EFC-88A6-26BA1436EF3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K22</xm:sqref>
        </x14:conditionalFormatting>
        <x14:conditionalFormatting xmlns:xm="http://schemas.microsoft.com/office/excel/2006/main">
          <x14:cfRule type="iconSet" priority="30" id="{DD6884DC-3078-459C-83A9-55BE4B68CC1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K31</xm:sqref>
        </x14:conditionalFormatting>
        <x14:conditionalFormatting xmlns:xm="http://schemas.microsoft.com/office/excel/2006/main">
          <x14:cfRule type="iconSet" priority="29" id="{6CEBF64D-F3CE-4918-BAFF-604E72B5870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K32</xm:sqref>
        </x14:conditionalFormatting>
        <x14:conditionalFormatting xmlns:xm="http://schemas.microsoft.com/office/excel/2006/main">
          <x14:cfRule type="iconSet" priority="28" id="{5E5DD67E-E058-42EC-B568-E6DE9665F38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K33</xm:sqref>
        </x14:conditionalFormatting>
        <x14:conditionalFormatting xmlns:xm="http://schemas.microsoft.com/office/excel/2006/main">
          <x14:cfRule type="iconSet" priority="27" id="{211C2CB1-1776-44E8-88C6-DF810635314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K34</xm:sqref>
        </x14:conditionalFormatting>
        <x14:conditionalFormatting xmlns:xm="http://schemas.microsoft.com/office/excel/2006/main">
          <x14:cfRule type="iconSet" priority="26" id="{1AADD39B-9394-4B03-9E81-74D50189CA4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K35</xm:sqref>
        </x14:conditionalFormatting>
        <x14:conditionalFormatting xmlns:xm="http://schemas.microsoft.com/office/excel/2006/main">
          <x14:cfRule type="iconSet" priority="25" id="{3D30B649-DD85-4420-A103-7D8F93AAFB3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K36</xm:sqref>
        </x14:conditionalFormatting>
        <x14:conditionalFormatting xmlns:xm="http://schemas.microsoft.com/office/excel/2006/main">
          <x14:cfRule type="iconSet" priority="17" id="{6DBB840E-4079-4BBD-9458-F7CDD271638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K37:K39</xm:sqref>
        </x14:conditionalFormatting>
        <x14:conditionalFormatting xmlns:xm="http://schemas.microsoft.com/office/excel/2006/main">
          <x14:cfRule type="iconSet" priority="48" id="{E8A2261D-E750-46E5-87BB-C779886B8E5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M12</xm:sqref>
        </x14:conditionalFormatting>
        <x14:conditionalFormatting xmlns:xm="http://schemas.microsoft.com/office/excel/2006/main">
          <x14:cfRule type="iconSet" priority="47" id="{6B32BE77-E871-4768-A59E-ED1D3E28988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M14</xm:sqref>
        </x14:conditionalFormatting>
        <x14:conditionalFormatting xmlns:xm="http://schemas.microsoft.com/office/excel/2006/main">
          <x14:cfRule type="iconSet" priority="46" id="{FC7C79A2-174D-4AE4-B6E7-DA161AF284F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M16</xm:sqref>
        </x14:conditionalFormatting>
        <x14:conditionalFormatting xmlns:xm="http://schemas.microsoft.com/office/excel/2006/main">
          <x14:cfRule type="iconSet" priority="45" id="{7822D0F1-61F6-4F4D-9638-EFC8C0D7D97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M18</xm:sqref>
        </x14:conditionalFormatting>
        <x14:conditionalFormatting xmlns:xm="http://schemas.microsoft.com/office/excel/2006/main">
          <x14:cfRule type="iconSet" priority="44" id="{AFFD4D98-6CBC-4D50-B066-93AC7AB24A7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M20</xm:sqref>
        </x14:conditionalFormatting>
        <x14:conditionalFormatting xmlns:xm="http://schemas.microsoft.com/office/excel/2006/main">
          <x14:cfRule type="iconSet" priority="43" id="{B671DA96-E600-48A2-9229-3821A777334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M22</xm:sqref>
        </x14:conditionalFormatting>
        <x14:conditionalFormatting xmlns:xm="http://schemas.microsoft.com/office/excel/2006/main">
          <x14:cfRule type="iconSet" priority="24" id="{12FA272D-263E-46A1-AE68-1859999779A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M31</xm:sqref>
        </x14:conditionalFormatting>
        <x14:conditionalFormatting xmlns:xm="http://schemas.microsoft.com/office/excel/2006/main">
          <x14:cfRule type="iconSet" priority="23" id="{E0ADD33E-6FA1-4019-999C-3EEC01DF572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M32</xm:sqref>
        </x14:conditionalFormatting>
        <x14:conditionalFormatting xmlns:xm="http://schemas.microsoft.com/office/excel/2006/main">
          <x14:cfRule type="iconSet" priority="22" id="{6A81E6A0-B181-442C-84D6-E5A87D29FE8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M33</xm:sqref>
        </x14:conditionalFormatting>
        <x14:conditionalFormatting xmlns:xm="http://schemas.microsoft.com/office/excel/2006/main">
          <x14:cfRule type="iconSet" priority="21" id="{64230E18-2683-43CF-9FEE-5F13DC99F11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M34</xm:sqref>
        </x14:conditionalFormatting>
        <x14:conditionalFormatting xmlns:xm="http://schemas.microsoft.com/office/excel/2006/main">
          <x14:cfRule type="iconSet" priority="20" id="{586C7F6B-DFC9-43E8-94DD-FFB9245CE91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M35</xm:sqref>
        </x14:conditionalFormatting>
        <x14:conditionalFormatting xmlns:xm="http://schemas.microsoft.com/office/excel/2006/main">
          <x14:cfRule type="iconSet" priority="19" id="{2C3FEC1E-9193-4EF3-AB67-7F6F06928F3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M36</xm:sqref>
        </x14:conditionalFormatting>
        <x14:conditionalFormatting xmlns:xm="http://schemas.microsoft.com/office/excel/2006/main">
          <x14:cfRule type="iconSet" priority="16" id="{D4823BBB-FAF3-4DDE-92E8-0C90C3EFB88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M37:M39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5"/>
  <sheetViews>
    <sheetView showGridLines="0" showRowColHeaders="0" workbookViewId="0">
      <selection activeCell="D3" sqref="D3:E3"/>
    </sheetView>
  </sheetViews>
  <sheetFormatPr baseColWidth="10" defaultColWidth="0" defaultRowHeight="15" zeroHeight="1" x14ac:dyDescent="0.25"/>
  <cols>
    <col min="1" max="1" width="3.28515625" customWidth="1"/>
    <col min="2" max="2" width="9.42578125" customWidth="1"/>
    <col min="3" max="3" width="6.5703125" customWidth="1"/>
    <col min="4" max="4" width="5" customWidth="1"/>
    <col min="5" max="5" width="7.28515625" customWidth="1"/>
    <col min="6" max="6" width="6.28515625" customWidth="1"/>
    <col min="7" max="7" width="7.28515625" customWidth="1"/>
    <col min="8" max="8" width="6.28515625" customWidth="1"/>
    <col min="9" max="9" width="7.28515625" customWidth="1"/>
    <col min="10" max="10" width="6.28515625" customWidth="1"/>
    <col min="11" max="11" width="7.28515625" customWidth="1"/>
    <col min="12" max="12" width="6.28515625" customWidth="1"/>
    <col min="13" max="13" width="7.28515625" customWidth="1"/>
    <col min="14" max="14" width="6.28515625" customWidth="1"/>
    <col min="15" max="15" width="5.28515625" customWidth="1"/>
    <col min="16" max="16" width="3.28515625" customWidth="1"/>
    <col min="17" max="16384" width="11.42578125" hidden="1"/>
  </cols>
  <sheetData>
    <row r="1" spans="2:15" x14ac:dyDescent="0.25"/>
    <row r="2" spans="2:15" x14ac:dyDescent="0.25">
      <c r="C2" s="416" t="s">
        <v>936</v>
      </c>
      <c r="D2" s="416"/>
      <c r="E2" s="417" t="s">
        <v>937</v>
      </c>
      <c r="F2" s="417"/>
      <c r="G2" s="413" t="s">
        <v>938</v>
      </c>
      <c r="H2" s="413"/>
    </row>
    <row r="3" spans="2:15" ht="23.25" x14ac:dyDescent="0.35">
      <c r="B3" s="286" t="s">
        <v>933</v>
      </c>
      <c r="C3" s="415">
        <v>50</v>
      </c>
      <c r="D3" s="415"/>
      <c r="E3" s="418">
        <v>16</v>
      </c>
      <c r="F3" s="418"/>
      <c r="G3" s="414">
        <v>2</v>
      </c>
      <c r="H3" s="414"/>
      <c r="J3" s="284" t="str">
        <f>IF(OR((C3-C4)&lt;3,(C4-C5)&lt;3,(C3-C4)&gt;25,C5&lt;15,ISERROR(F31)),"Bitte überprüfen Sie ihre Eingaben!","")</f>
        <v/>
      </c>
    </row>
    <row r="4" spans="2:15" ht="23.25" x14ac:dyDescent="0.35">
      <c r="B4" s="286" t="s">
        <v>934</v>
      </c>
      <c r="C4" s="415">
        <v>40</v>
      </c>
      <c r="D4" s="415"/>
      <c r="E4" s="418">
        <v>19</v>
      </c>
      <c r="F4" s="418"/>
      <c r="G4" s="414"/>
      <c r="H4" s="414"/>
      <c r="J4" s="284" t="str">
        <f>IF(ISERROR(F12),"Bitte überprüfen Sie ihre Eingaben!","")</f>
        <v/>
      </c>
    </row>
    <row r="5" spans="2:15" ht="23.25" x14ac:dyDescent="0.35">
      <c r="B5" s="286" t="s">
        <v>935</v>
      </c>
      <c r="C5" s="415">
        <v>20</v>
      </c>
      <c r="D5" s="415"/>
      <c r="E5" s="418">
        <v>27</v>
      </c>
      <c r="F5" s="418"/>
      <c r="G5" s="414"/>
      <c r="H5" s="414"/>
    </row>
    <row r="6" spans="2:15" x14ac:dyDescent="0.25"/>
    <row r="7" spans="2:15" ht="21" x14ac:dyDescent="0.35">
      <c r="B7" s="19" t="str">
        <f>VLOOKUP(1,TXT_K,$G$3,0)</f>
        <v>Kühlmedium  (PKW)</v>
      </c>
      <c r="C7" s="19"/>
      <c r="D7" s="19"/>
      <c r="E7" s="19"/>
      <c r="F7" s="20" t="str">
        <f>CONCATENATE(E3,"°C"," / ",E4,"°C")</f>
        <v>16°C / 19°C</v>
      </c>
      <c r="G7" s="20"/>
      <c r="H7" s="20"/>
      <c r="I7" s="20"/>
      <c r="J7" s="19"/>
      <c r="K7" s="19"/>
      <c r="L7" s="19"/>
      <c r="M7" s="21" t="str">
        <f>VLOOKUP(8,TXT_K,$G$3,0)</f>
        <v>Raumtemperatur</v>
      </c>
      <c r="N7" s="21"/>
      <c r="O7" s="22" t="str">
        <f>CONCATENATE("+",E5,"°C")</f>
        <v>+27°C</v>
      </c>
    </row>
    <row r="8" spans="2:15" s="74" customFormat="1" ht="12" x14ac:dyDescent="0.2"/>
    <row r="9" spans="2:15" s="74" customFormat="1" ht="12" x14ac:dyDescent="0.2">
      <c r="B9" s="74" t="str">
        <f>VLOOKUP(2,TXT_K,$G$3,0)</f>
        <v>Modell</v>
      </c>
      <c r="F9" s="422" t="str">
        <f>VLOOKUP(7,TXT_K,$G$3,0)</f>
        <v>Leistungsprozent</v>
      </c>
      <c r="G9" s="422"/>
      <c r="H9" s="422"/>
      <c r="I9" s="422"/>
      <c r="J9" s="422"/>
      <c r="K9" s="422"/>
      <c r="L9" s="422"/>
      <c r="M9" s="422"/>
      <c r="N9" s="422"/>
    </row>
    <row r="10" spans="2:15" ht="21" x14ac:dyDescent="0.35">
      <c r="B10" s="14" t="s">
        <v>958</v>
      </c>
      <c r="E10" s="72"/>
      <c r="F10" s="71">
        <v>0.3</v>
      </c>
      <c r="G10" s="3"/>
      <c r="H10" s="3">
        <v>0.4</v>
      </c>
      <c r="I10" s="2"/>
      <c r="J10" s="2">
        <v>0.5</v>
      </c>
      <c r="K10" s="1"/>
      <c r="L10" s="1">
        <v>0.6</v>
      </c>
      <c r="M10" s="4"/>
      <c r="N10" s="4">
        <v>1</v>
      </c>
      <c r="O10" s="6"/>
    </row>
    <row r="11" spans="2:15" s="74" customFormat="1" ht="28.5" customHeight="1" x14ac:dyDescent="0.2">
      <c r="B11" s="85" t="str">
        <f>VLOOKUP(3,TXT_K,$G$3,0)</f>
        <v>Wanne  Bk [mm]</v>
      </c>
      <c r="C11" s="85" t="str">
        <f>VLOOKUP(4,TXT_K,$G$3,0)</f>
        <v>Element He [mm]</v>
      </c>
      <c r="E11" s="421" t="str">
        <f>VLOOKUP(20,TXT_K,$G$3,0)</f>
        <v>Kühlleistung [W]</v>
      </c>
      <c r="F11" s="421"/>
      <c r="G11" s="421"/>
      <c r="H11" s="421"/>
      <c r="I11" s="421"/>
      <c r="J11" s="421"/>
      <c r="K11" s="421"/>
      <c r="L11" s="421"/>
      <c r="M11" s="421"/>
      <c r="N11" s="421"/>
      <c r="O11" s="66" t="s">
        <v>970</v>
      </c>
    </row>
    <row r="12" spans="2:15" x14ac:dyDescent="0.25">
      <c r="B12" s="423" t="s">
        <v>999</v>
      </c>
      <c r="C12" s="425" t="s">
        <v>1002</v>
      </c>
      <c r="D12" s="63" t="s">
        <v>1005</v>
      </c>
      <c r="E12" s="67">
        <f>ROUND(F12/(($E$4-$E$3)*1.161),0)</f>
        <v>26</v>
      </c>
      <c r="F12" s="68">
        <f>ROUND(F$14*0.5,0)</f>
        <v>92</v>
      </c>
      <c r="G12" s="30">
        <f>ROUND(H12/(($E$4-$E$3)*1.161),0)</f>
        <v>38</v>
      </c>
      <c r="H12" s="48">
        <f>ROUND(H$14*0.5,0)</f>
        <v>132</v>
      </c>
      <c r="I12" s="32">
        <f>ROUND(J12/(($E$4-$E$3)*1.161),0)</f>
        <v>45</v>
      </c>
      <c r="J12" s="51">
        <f>ROUND(J$14*0.51,0)</f>
        <v>158</v>
      </c>
      <c r="K12" s="34">
        <f>ROUND(L12/(($E$4-$E$3)*1.161),0)</f>
        <v>52</v>
      </c>
      <c r="L12" s="55">
        <f>ROUND(L$14*0.51,0)</f>
        <v>181</v>
      </c>
      <c r="M12" s="36">
        <f>ROUND(N12/(($E$4-$E$3)*1.161),0)</f>
        <v>69</v>
      </c>
      <c r="N12" s="59">
        <f>ROUND(N$14*0.52,0)</f>
        <v>240</v>
      </c>
      <c r="O12" s="419" t="s">
        <v>971</v>
      </c>
    </row>
    <row r="13" spans="2:15" x14ac:dyDescent="0.25">
      <c r="B13" s="424"/>
      <c r="C13" s="426"/>
      <c r="D13" s="64" t="s">
        <v>1006</v>
      </c>
      <c r="E13" s="69"/>
      <c r="F13" s="70">
        <f>ROUND(F$15*0.5,0)</f>
        <v>92</v>
      </c>
      <c r="G13" s="31"/>
      <c r="H13" s="29">
        <f>ROUND(H$15*0.5,0)</f>
        <v>132</v>
      </c>
      <c r="I13" s="33"/>
      <c r="J13" s="52">
        <f>ROUND(J$15*0.51,0)</f>
        <v>158</v>
      </c>
      <c r="K13" s="35"/>
      <c r="L13" s="56">
        <f>ROUND(L$15*0.51,0)</f>
        <v>181</v>
      </c>
      <c r="M13" s="37"/>
      <c r="N13" s="60">
        <f>ROUND(N$15*0.52,0)</f>
        <v>240</v>
      </c>
      <c r="O13" s="420"/>
    </row>
    <row r="14" spans="2:15" x14ac:dyDescent="0.25">
      <c r="B14" s="423" t="s">
        <v>962</v>
      </c>
      <c r="C14" s="425" t="s">
        <v>964</v>
      </c>
      <c r="D14" s="63" t="s">
        <v>1005</v>
      </c>
      <c r="E14" s="67">
        <f>ROUND(F14/(($E$4-$E$3)*1.161),0)</f>
        <v>53</v>
      </c>
      <c r="F14" s="68">
        <f>VLOOKUP(CONCATENATE(E3,"-",E4,"-",E5),LEISTUNGEN_K,21,0)</f>
        <v>184</v>
      </c>
      <c r="G14" s="30">
        <f>ROUND(H14/(($E$4-$E$3)*1.161),0)</f>
        <v>76</v>
      </c>
      <c r="H14" s="48">
        <f>VLOOKUP(CONCATENATE(E3,"-",E4,"-",E5),LEISTUNGEN_K,20,0)</f>
        <v>263</v>
      </c>
      <c r="I14" s="32">
        <f>ROUND(J14/(($E$4-$E$3)*1.161),0)</f>
        <v>89</v>
      </c>
      <c r="J14" s="51">
        <f>VLOOKUP(CONCATENATE(E3,"-",E4,"-",E5),LEISTUNGEN_K,19,0)</f>
        <v>309</v>
      </c>
      <c r="K14" s="34">
        <f>ROUND(L14/(($E$4-$E$3)*1.161),0)</f>
        <v>102</v>
      </c>
      <c r="L14" s="55">
        <f>VLOOKUP(CONCATENATE(E3,"-",E4,"-",E5),LEISTUNGEN_K,18,0)</f>
        <v>355</v>
      </c>
      <c r="M14" s="36">
        <f>ROUND(N14/(($E$4-$E$3)*1.161),0)</f>
        <v>133</v>
      </c>
      <c r="N14" s="59">
        <f>VLOOKUP(CONCATENATE(E3,"-",E4,"-",E5),LEISTUNGEN_K,16,0)</f>
        <v>462</v>
      </c>
      <c r="O14" s="419" t="s">
        <v>972</v>
      </c>
    </row>
    <row r="15" spans="2:15" x14ac:dyDescent="0.25">
      <c r="B15" s="424"/>
      <c r="C15" s="426"/>
      <c r="D15" s="64" t="s">
        <v>1006</v>
      </c>
      <c r="E15" s="69"/>
      <c r="F15" s="70">
        <f>VLOOKUP(CONCATENATE(E3,"-",E4,"-",E5),LEISTUNGEN_K,28,0)</f>
        <v>184</v>
      </c>
      <c r="G15" s="31"/>
      <c r="H15" s="29">
        <f>VLOOKUP(CONCATENATE(E3,"-",E4,"-",E5),LEISTUNGEN_K,27,0)</f>
        <v>263</v>
      </c>
      <c r="I15" s="33"/>
      <c r="J15" s="52">
        <f>VLOOKUP(CONCATENATE(E3,"-",E4,"-",E5),LEISTUNGEN_K,26,0)</f>
        <v>309</v>
      </c>
      <c r="K15" s="35"/>
      <c r="L15" s="56">
        <f>VLOOKUP(CONCATENATE(E3,"-",E4,"-",E5),LEISTUNGEN_K,25,0)</f>
        <v>355</v>
      </c>
      <c r="M15" s="37"/>
      <c r="N15" s="60">
        <f>VLOOKUP(CONCATENATE(E3,"-",E4,"-",E5),LEISTUNGEN_K,23,0)</f>
        <v>462</v>
      </c>
      <c r="O15" s="420"/>
    </row>
    <row r="16" spans="2:15" x14ac:dyDescent="0.25">
      <c r="B16" s="423" t="s">
        <v>1000</v>
      </c>
      <c r="C16" s="425" t="s">
        <v>1003</v>
      </c>
      <c r="D16" s="63" t="s">
        <v>1005</v>
      </c>
      <c r="E16" s="67">
        <f>ROUND(F16/(($E$4-$E$3)*1.161),0)</f>
        <v>82</v>
      </c>
      <c r="F16" s="68">
        <f>ROUND(F$14*1.55,0)</f>
        <v>285</v>
      </c>
      <c r="G16" s="30">
        <f>ROUND(H16/(($E$4-$E$3)*1.161),0)</f>
        <v>117</v>
      </c>
      <c r="H16" s="48">
        <f>ROUND(H$14*1.55,0)</f>
        <v>408</v>
      </c>
      <c r="I16" s="32">
        <f>ROUND(J16/(($E$4-$E$3)*1.161),0)</f>
        <v>138</v>
      </c>
      <c r="J16" s="51">
        <f>ROUND(J$14*1.56,0)</f>
        <v>482</v>
      </c>
      <c r="K16" s="34">
        <f>ROUND(L16/(($E$4-$E$3)*1.161),0)</f>
        <v>159</v>
      </c>
      <c r="L16" s="55">
        <f>ROUND(L$14*1.56,0)</f>
        <v>554</v>
      </c>
      <c r="M16" s="36">
        <f>ROUND(N16/(($E$4-$E$3)*1.161),0)</f>
        <v>211</v>
      </c>
      <c r="N16" s="59">
        <f>ROUND(N$14*1.59,0)</f>
        <v>735</v>
      </c>
      <c r="O16" s="419" t="s">
        <v>973</v>
      </c>
    </row>
    <row r="17" spans="2:15" x14ac:dyDescent="0.25">
      <c r="B17" s="424"/>
      <c r="C17" s="426"/>
      <c r="D17" s="64" t="s">
        <v>1006</v>
      </c>
      <c r="E17" s="69"/>
      <c r="F17" s="70">
        <f>ROUND(F$15*1.55,0)</f>
        <v>285</v>
      </c>
      <c r="G17" s="31"/>
      <c r="H17" s="29">
        <f>ROUND(H$15*1.55,0)</f>
        <v>408</v>
      </c>
      <c r="I17" s="33"/>
      <c r="J17" s="52">
        <f>ROUND(J$15*1.56,0)</f>
        <v>482</v>
      </c>
      <c r="K17" s="35"/>
      <c r="L17" s="56">
        <f>ROUND(L$15*1.56,0)</f>
        <v>554</v>
      </c>
      <c r="M17" s="37"/>
      <c r="N17" s="60">
        <f>ROUND(N$15*1.59,0)</f>
        <v>735</v>
      </c>
      <c r="O17" s="420"/>
    </row>
    <row r="18" spans="2:15" x14ac:dyDescent="0.25">
      <c r="B18" s="423" t="s">
        <v>963</v>
      </c>
      <c r="C18" s="425" t="s">
        <v>965</v>
      </c>
      <c r="D18" s="63" t="s">
        <v>1005</v>
      </c>
      <c r="E18" s="67">
        <f>ROUND(F18/(($E$4-$E$3)*1.161),0)</f>
        <v>109</v>
      </c>
      <c r="F18" s="68">
        <f>ROUND(F$14*2.06,0)</f>
        <v>379</v>
      </c>
      <c r="G18" s="30">
        <f>ROUND(H18/(($E$4-$E$3)*1.161),0)</f>
        <v>156</v>
      </c>
      <c r="H18" s="48">
        <f>ROUND(H$14*2.06,0)</f>
        <v>542</v>
      </c>
      <c r="I18" s="32">
        <f>ROUND(J18/(($E$4-$E$3)*1.161),0)</f>
        <v>185</v>
      </c>
      <c r="J18" s="51">
        <f>ROUND(J$14*2.08,0)</f>
        <v>643</v>
      </c>
      <c r="K18" s="34">
        <f>ROUND(L18/(($E$4-$E$3)*1.161),0)</f>
        <v>212</v>
      </c>
      <c r="L18" s="55">
        <f>ROUND(L$14*2.08,0)</f>
        <v>738</v>
      </c>
      <c r="M18" s="36">
        <f>ROUND(N18/(($E$4-$E$3)*1.161),0)</f>
        <v>280</v>
      </c>
      <c r="N18" s="59">
        <f>ROUND(N$14*2.11,0)</f>
        <v>975</v>
      </c>
      <c r="O18" s="419" t="s">
        <v>974</v>
      </c>
    </row>
    <row r="19" spans="2:15" x14ac:dyDescent="0.25">
      <c r="B19" s="424"/>
      <c r="C19" s="426"/>
      <c r="D19" s="64" t="s">
        <v>1006</v>
      </c>
      <c r="E19" s="69"/>
      <c r="F19" s="70">
        <f>ROUND(F$15*2.06,0)</f>
        <v>379</v>
      </c>
      <c r="G19" s="31"/>
      <c r="H19" s="29">
        <f>ROUND(H$15*2.06,0)</f>
        <v>542</v>
      </c>
      <c r="I19" s="33"/>
      <c r="J19" s="52">
        <f>ROUND(J$15*2.08,0)</f>
        <v>643</v>
      </c>
      <c r="K19" s="35"/>
      <c r="L19" s="56">
        <f>ROUND(L$15*2.08,0)</f>
        <v>738</v>
      </c>
      <c r="M19" s="37"/>
      <c r="N19" s="60">
        <f>ROUND(N$15*2.11,0)</f>
        <v>975</v>
      </c>
      <c r="O19" s="420"/>
    </row>
    <row r="20" spans="2:15" x14ac:dyDescent="0.25">
      <c r="B20" s="423" t="s">
        <v>1001</v>
      </c>
      <c r="C20" s="425" t="s">
        <v>1004</v>
      </c>
      <c r="D20" s="63" t="s">
        <v>1005</v>
      </c>
      <c r="E20" s="67">
        <f>ROUND(F20/(($E$4-$E$3)*1.161),0)</f>
        <v>137</v>
      </c>
      <c r="F20" s="68">
        <f>ROUND(F$14*2.6,0)</f>
        <v>478</v>
      </c>
      <c r="G20" s="30">
        <f>ROUND(H20/(($E$4-$E$3)*1.161),0)</f>
        <v>196</v>
      </c>
      <c r="H20" s="48">
        <f>ROUND(H$14*2.6,0)</f>
        <v>684</v>
      </c>
      <c r="I20" s="32">
        <f>ROUND(J20/(($E$4-$E$3)*1.161),0)</f>
        <v>235</v>
      </c>
      <c r="J20" s="51">
        <f>ROUND(J$14*2.65,0)</f>
        <v>819</v>
      </c>
      <c r="K20" s="34">
        <f>ROUND(L20/(($E$4-$E$3)*1.161),0)</f>
        <v>270</v>
      </c>
      <c r="L20" s="55">
        <f>ROUND(L$14*2.65,0)</f>
        <v>941</v>
      </c>
      <c r="M20" s="36">
        <f>ROUND(N20/(($E$4-$E$3)*1.161),0)</f>
        <v>358</v>
      </c>
      <c r="N20" s="59">
        <f>ROUND(N$14*2.7,0)</f>
        <v>1247</v>
      </c>
      <c r="O20" s="419" t="s">
        <v>975</v>
      </c>
    </row>
    <row r="21" spans="2:15" x14ac:dyDescent="0.25">
      <c r="B21" s="424"/>
      <c r="C21" s="426"/>
      <c r="D21" s="64" t="s">
        <v>1006</v>
      </c>
      <c r="E21" s="69"/>
      <c r="F21" s="70">
        <f>ROUND(F$15*2.6,0)</f>
        <v>478</v>
      </c>
      <c r="G21" s="31"/>
      <c r="H21" s="29">
        <f>ROUND(H$15*2.6,0)</f>
        <v>684</v>
      </c>
      <c r="I21" s="33"/>
      <c r="J21" s="52">
        <f>ROUND(J$15*2.65,0)</f>
        <v>819</v>
      </c>
      <c r="K21" s="35"/>
      <c r="L21" s="56">
        <f t="shared" ref="L21" si="0">ROUND(L$15*2.65,0)</f>
        <v>941</v>
      </c>
      <c r="M21" s="37"/>
      <c r="N21" s="60">
        <f>ROUND(N$15*2.7,0)</f>
        <v>1247</v>
      </c>
      <c r="O21" s="420"/>
    </row>
    <row r="22" spans="2:15" x14ac:dyDescent="0.25">
      <c r="B22" s="423" t="s">
        <v>1020</v>
      </c>
      <c r="C22" s="425" t="s">
        <v>966</v>
      </c>
      <c r="D22" s="63" t="s">
        <v>1005</v>
      </c>
      <c r="E22" s="67">
        <f>ROUND(F22/(($E$4-$E$3)*1.161),0)</f>
        <v>164</v>
      </c>
      <c r="F22" s="68">
        <f>ROUND(F$14*3.1,0)</f>
        <v>570</v>
      </c>
      <c r="G22" s="30">
        <f>ROUND(H22/(($E$4-$E$3)*1.161),0)</f>
        <v>234</v>
      </c>
      <c r="H22" s="48">
        <f>ROUND(H$14*3.1,0)</f>
        <v>815</v>
      </c>
      <c r="I22" s="32">
        <f>ROUND(J22/(($E$4-$E$3)*1.161),0)</f>
        <v>278</v>
      </c>
      <c r="J22" s="51">
        <f>ROUND(J$14*3.13,0)</f>
        <v>967</v>
      </c>
      <c r="K22" s="34">
        <f>ROUND(L22/(($E$4-$E$3)*1.161),0)</f>
        <v>319</v>
      </c>
      <c r="L22" s="55">
        <f>ROUND(L$14*3.13,0)</f>
        <v>1111</v>
      </c>
      <c r="M22" s="36">
        <f>ROUND(N22/(($E$4-$E$3)*1.161),0)</f>
        <v>422</v>
      </c>
      <c r="N22" s="59">
        <f>ROUND(N$14*3.18,0)</f>
        <v>1469</v>
      </c>
      <c r="O22" s="419" t="s">
        <v>976</v>
      </c>
    </row>
    <row r="23" spans="2:15" x14ac:dyDescent="0.25">
      <c r="B23" s="424"/>
      <c r="C23" s="426"/>
      <c r="D23" s="64" t="s">
        <v>1006</v>
      </c>
      <c r="E23" s="69"/>
      <c r="F23" s="70">
        <f>ROUND(F$15*3.1,0)</f>
        <v>570</v>
      </c>
      <c r="G23" s="31"/>
      <c r="H23" s="29">
        <f>ROUND(H$15*3.1,0)</f>
        <v>815</v>
      </c>
      <c r="I23" s="33"/>
      <c r="J23" s="52">
        <f>ROUND(J$15*3.13,0)</f>
        <v>967</v>
      </c>
      <c r="K23" s="35"/>
      <c r="L23" s="56">
        <f t="shared" ref="L23" si="1">ROUND(L$15*3.13,0)</f>
        <v>1111</v>
      </c>
      <c r="M23" s="37"/>
      <c r="N23" s="60">
        <f>ROUND(N$15*3.18,0)</f>
        <v>1469</v>
      </c>
      <c r="O23" s="420"/>
    </row>
    <row r="24" spans="2:15" x14ac:dyDescent="0.25">
      <c r="O24" s="94" t="str">
        <f>VLOOKUP(23,TXT_K,$G$3,0)</f>
        <v>Leistung nach DIN EN 16430</v>
      </c>
    </row>
    <row r="25" spans="2:15" x14ac:dyDescent="0.25"/>
    <row r="26" spans="2:15" ht="21" x14ac:dyDescent="0.35">
      <c r="B26" s="15" t="str">
        <f>VLOOKUP(22,TXT_K,$G$3,0)</f>
        <v>Heizmedium  (PWW)</v>
      </c>
      <c r="C26" s="15"/>
      <c r="D26" s="15"/>
      <c r="E26" s="15"/>
      <c r="F26" s="16" t="str">
        <f>CONCATENATE(C3,"°C"," / ",C4,"°C")</f>
        <v>50°C / 40°C</v>
      </c>
      <c r="G26" s="16"/>
      <c r="H26" s="16"/>
      <c r="I26" s="16"/>
      <c r="J26" s="15"/>
      <c r="K26" s="15"/>
      <c r="L26" s="15"/>
      <c r="M26" s="17" t="str">
        <f>VLOOKUP(8,TXT_K,$G$3,0)</f>
        <v>Raumtemperatur</v>
      </c>
      <c r="N26" s="17"/>
      <c r="O26" s="18" t="str">
        <f>CONCATENATE("+",C5,"°C")</f>
        <v>+20°C</v>
      </c>
    </row>
    <row r="27" spans="2:15" s="74" customFormat="1" ht="12" x14ac:dyDescent="0.2"/>
    <row r="28" spans="2:15" s="74" customFormat="1" ht="12" x14ac:dyDescent="0.2">
      <c r="B28" s="74" t="str">
        <f>VLOOKUP(2,TXT_K,$G$3,0)</f>
        <v>Modell</v>
      </c>
      <c r="F28" s="422" t="str">
        <f>VLOOKUP(7,TXT_K,$G$3,0)</f>
        <v>Leistungsprozent</v>
      </c>
      <c r="G28" s="422"/>
      <c r="H28" s="422"/>
      <c r="I28" s="422"/>
      <c r="J28" s="422"/>
      <c r="K28" s="422"/>
      <c r="L28" s="422"/>
      <c r="M28" s="422"/>
      <c r="N28" s="422"/>
    </row>
    <row r="29" spans="2:15" ht="21" x14ac:dyDescent="0.35">
      <c r="B29" s="7" t="s">
        <v>958</v>
      </c>
      <c r="E29" s="77"/>
      <c r="F29" s="78">
        <v>0.3</v>
      </c>
      <c r="G29" s="11"/>
      <c r="H29" s="11">
        <v>0.4</v>
      </c>
      <c r="I29" s="8"/>
      <c r="J29" s="8">
        <v>0.5</v>
      </c>
      <c r="K29" s="9"/>
      <c r="L29" s="9">
        <v>0.6</v>
      </c>
      <c r="M29" s="10"/>
      <c r="N29" s="10">
        <v>1</v>
      </c>
      <c r="O29" s="6"/>
    </row>
    <row r="30" spans="2:15" s="74" customFormat="1" ht="28.5" customHeight="1" x14ac:dyDescent="0.2">
      <c r="B30" s="85" t="str">
        <f>VLOOKUP(3,TXT_K,$G$3,0)</f>
        <v>Wanne  Bk [mm]</v>
      </c>
      <c r="C30" s="85" t="str">
        <f>VLOOKUP(4,TXT_K,$G$3,0)</f>
        <v>Element He [mm]</v>
      </c>
      <c r="E30" s="421" t="str">
        <f>VLOOKUP(21,TXT_K,$G$3,0)</f>
        <v>Heizleistung [W]</v>
      </c>
      <c r="F30" s="421"/>
      <c r="G30" s="421"/>
      <c r="H30" s="421"/>
      <c r="I30" s="421"/>
      <c r="J30" s="421"/>
      <c r="K30" s="421"/>
      <c r="L30" s="421"/>
      <c r="M30" s="421"/>
      <c r="N30" s="421"/>
      <c r="O30" s="66" t="s">
        <v>970</v>
      </c>
    </row>
    <row r="31" spans="2:15" x14ac:dyDescent="0.25">
      <c r="B31" s="12" t="s">
        <v>999</v>
      </c>
      <c r="C31" s="46" t="s">
        <v>1002</v>
      </c>
      <c r="D31" s="63" t="s">
        <v>1005</v>
      </c>
      <c r="E31" s="79">
        <f t="shared" ref="E31:G36" si="2">ROUND(F31/(($C$3-$C$4)*1.161),0)</f>
        <v>24</v>
      </c>
      <c r="F31" s="80">
        <f>ROUND(F32*0.5,0)</f>
        <v>284</v>
      </c>
      <c r="G31" s="38">
        <f t="shared" si="2"/>
        <v>31</v>
      </c>
      <c r="H31" s="49">
        <f>ROUND(H32*0.5,0)</f>
        <v>359</v>
      </c>
      <c r="I31" s="40">
        <f t="shared" ref="I31:I36" si="3">ROUND(J31/(($C$3-$C$4)*1.161),0)</f>
        <v>34</v>
      </c>
      <c r="J31" s="53">
        <f>ROUND(J32*0.5,0)</f>
        <v>399</v>
      </c>
      <c r="K31" s="42">
        <f t="shared" ref="K31:K36" si="4">ROUND(L31/(($C$3-$C$4)*1.161),0)</f>
        <v>38</v>
      </c>
      <c r="L31" s="57">
        <f t="shared" ref="L31:N31" si="5">ROUND(L32*0.5,0)</f>
        <v>439</v>
      </c>
      <c r="M31" s="44">
        <f t="shared" ref="M31:M36" si="6">ROUND(N31/(($C$3-$C$4)*1.161),0)</f>
        <v>45</v>
      </c>
      <c r="N31" s="61">
        <f t="shared" si="5"/>
        <v>524</v>
      </c>
      <c r="O31" s="23" t="s">
        <v>971</v>
      </c>
    </row>
    <row r="32" spans="2:15" x14ac:dyDescent="0.25">
      <c r="B32" s="12" t="s">
        <v>962</v>
      </c>
      <c r="C32" s="46" t="s">
        <v>964</v>
      </c>
      <c r="D32" s="63" t="s">
        <v>1005</v>
      </c>
      <c r="E32" s="79">
        <f t="shared" si="2"/>
        <v>49</v>
      </c>
      <c r="F32" s="80">
        <f>ROUND(SUM('BASE-HEIZ'!G7)*VLOOKUP(((C3+C4)/2)-C5,FAKTOR_K,2,0),0)</f>
        <v>567</v>
      </c>
      <c r="G32" s="38">
        <f t="shared" si="2"/>
        <v>62</v>
      </c>
      <c r="H32" s="49">
        <f>ROUND(SUM('BASE-HEIZ'!F7)*VLOOKUP(((C3+C4)/2)-C5,FAKTOR_K,2,0),0)</f>
        <v>718</v>
      </c>
      <c r="I32" s="40">
        <f t="shared" si="3"/>
        <v>69</v>
      </c>
      <c r="J32" s="53">
        <f>ROUND(SUM('BASE-HEIZ'!E7)*VLOOKUP(((C3+C4)/2)-C5,FAKTOR_K,2,0),0)</f>
        <v>798</v>
      </c>
      <c r="K32" s="42">
        <f t="shared" si="4"/>
        <v>76</v>
      </c>
      <c r="L32" s="57">
        <f>ROUND(SUM('BASE-HEIZ'!D7)*VLOOKUP(((C3+C4)/2)-C5,FAKTOR_K,2,0),0)</f>
        <v>878</v>
      </c>
      <c r="M32" s="44">
        <f t="shared" si="6"/>
        <v>90</v>
      </c>
      <c r="N32" s="61">
        <f>ROUND(SUM('BASE-HEIZ'!B7)*VLOOKUP(((C3+C4)/2)-C5,FAKTOR_K,2,0),0)</f>
        <v>1047</v>
      </c>
      <c r="O32" s="24" t="s">
        <v>972</v>
      </c>
    </row>
    <row r="33" spans="2:15" x14ac:dyDescent="0.25">
      <c r="B33" s="12" t="s">
        <v>1000</v>
      </c>
      <c r="C33" s="46" t="s">
        <v>1003</v>
      </c>
      <c r="D33" s="63" t="s">
        <v>1005</v>
      </c>
      <c r="E33" s="79">
        <f t="shared" si="2"/>
        <v>73</v>
      </c>
      <c r="F33" s="80">
        <f>ROUND(F32*1.5,0)</f>
        <v>851</v>
      </c>
      <c r="G33" s="38">
        <f t="shared" si="2"/>
        <v>93</v>
      </c>
      <c r="H33" s="49">
        <f>ROUND(H32*1.5,0)</f>
        <v>1077</v>
      </c>
      <c r="I33" s="40">
        <f t="shared" si="3"/>
        <v>103</v>
      </c>
      <c r="J33" s="53">
        <f t="shared" ref="J33:N33" si="7">ROUND(J32*1.5,0)</f>
        <v>1197</v>
      </c>
      <c r="K33" s="42">
        <f t="shared" si="4"/>
        <v>113</v>
      </c>
      <c r="L33" s="57">
        <f t="shared" si="7"/>
        <v>1317</v>
      </c>
      <c r="M33" s="44">
        <f t="shared" si="6"/>
        <v>135</v>
      </c>
      <c r="N33" s="61">
        <f t="shared" si="7"/>
        <v>1571</v>
      </c>
      <c r="O33" s="23" t="s">
        <v>973</v>
      </c>
    </row>
    <row r="34" spans="2:15" x14ac:dyDescent="0.25">
      <c r="B34" s="12" t="s">
        <v>963</v>
      </c>
      <c r="C34" s="46" t="s">
        <v>965</v>
      </c>
      <c r="D34" s="63" t="s">
        <v>1005</v>
      </c>
      <c r="E34" s="79">
        <f t="shared" si="2"/>
        <v>98</v>
      </c>
      <c r="F34" s="80">
        <f>ROUND(F32*2,0)</f>
        <v>1134</v>
      </c>
      <c r="G34" s="38">
        <f t="shared" si="2"/>
        <v>124</v>
      </c>
      <c r="H34" s="49">
        <f>ROUND(H32*2,0)</f>
        <v>1436</v>
      </c>
      <c r="I34" s="40">
        <f t="shared" si="3"/>
        <v>137</v>
      </c>
      <c r="J34" s="53">
        <f t="shared" ref="J34:N34" si="8">ROUND(J32*2,0)</f>
        <v>1596</v>
      </c>
      <c r="K34" s="42">
        <f t="shared" si="4"/>
        <v>151</v>
      </c>
      <c r="L34" s="57">
        <f t="shared" si="8"/>
        <v>1756</v>
      </c>
      <c r="M34" s="44">
        <f t="shared" si="6"/>
        <v>180</v>
      </c>
      <c r="N34" s="61">
        <f t="shared" si="8"/>
        <v>2094</v>
      </c>
      <c r="O34" s="23" t="s">
        <v>974</v>
      </c>
    </row>
    <row r="35" spans="2:15" x14ac:dyDescent="0.25">
      <c r="B35" s="12" t="s">
        <v>1001</v>
      </c>
      <c r="C35" s="46" t="s">
        <v>1004</v>
      </c>
      <c r="D35" s="63" t="s">
        <v>1005</v>
      </c>
      <c r="E35" s="79">
        <f t="shared" si="2"/>
        <v>122</v>
      </c>
      <c r="F35" s="80">
        <f>ROUND(F32*2.5,0)</f>
        <v>1418</v>
      </c>
      <c r="G35" s="38">
        <f t="shared" si="2"/>
        <v>155</v>
      </c>
      <c r="H35" s="49">
        <f>ROUND(H32*2.5,0)</f>
        <v>1795</v>
      </c>
      <c r="I35" s="40">
        <f t="shared" si="3"/>
        <v>172</v>
      </c>
      <c r="J35" s="53">
        <f t="shared" ref="J35:N35" si="9">ROUND(J32*2.5,0)</f>
        <v>1995</v>
      </c>
      <c r="K35" s="42">
        <f t="shared" si="4"/>
        <v>189</v>
      </c>
      <c r="L35" s="57">
        <f t="shared" si="9"/>
        <v>2195</v>
      </c>
      <c r="M35" s="44">
        <f t="shared" si="6"/>
        <v>225</v>
      </c>
      <c r="N35" s="61">
        <f t="shared" si="9"/>
        <v>2618</v>
      </c>
      <c r="O35" s="23" t="s">
        <v>975</v>
      </c>
    </row>
    <row r="36" spans="2:15" x14ac:dyDescent="0.25">
      <c r="B36" s="13" t="s">
        <v>1020</v>
      </c>
      <c r="C36" s="47" t="s">
        <v>966</v>
      </c>
      <c r="D36" s="65" t="s">
        <v>1005</v>
      </c>
      <c r="E36" s="81">
        <f t="shared" si="2"/>
        <v>147</v>
      </c>
      <c r="F36" s="82">
        <f>ROUND(F32*3,0)</f>
        <v>1701</v>
      </c>
      <c r="G36" s="39">
        <f t="shared" si="2"/>
        <v>186</v>
      </c>
      <c r="H36" s="50">
        <f>ROUND(H32*3,0)</f>
        <v>2154</v>
      </c>
      <c r="I36" s="41">
        <f t="shared" si="3"/>
        <v>206</v>
      </c>
      <c r="J36" s="54">
        <f t="shared" ref="J36:N36" si="10">ROUND(J32*3,0)</f>
        <v>2394</v>
      </c>
      <c r="K36" s="43">
        <f t="shared" si="4"/>
        <v>227</v>
      </c>
      <c r="L36" s="58">
        <f t="shared" si="10"/>
        <v>2634</v>
      </c>
      <c r="M36" s="45">
        <f t="shared" si="6"/>
        <v>271</v>
      </c>
      <c r="N36" s="62">
        <f t="shared" si="10"/>
        <v>3141</v>
      </c>
      <c r="O36" s="25" t="s">
        <v>976</v>
      </c>
    </row>
    <row r="37" spans="2:15" s="74" customFormat="1" ht="12" x14ac:dyDescent="0.2">
      <c r="B37" s="90"/>
      <c r="C37" s="91"/>
      <c r="E37" s="92"/>
      <c r="F37" s="93"/>
      <c r="G37" s="93"/>
      <c r="H37" s="93"/>
      <c r="I37" s="92"/>
      <c r="J37" s="93"/>
      <c r="K37" s="92"/>
      <c r="L37" s="93"/>
      <c r="M37" s="92"/>
      <c r="N37" s="93"/>
      <c r="O37" s="94" t="str">
        <f>VLOOKUP(23,TXT_K,$G$3,0)</f>
        <v>Leistung nach DIN EN 16430</v>
      </c>
    </row>
    <row r="38" spans="2:15" s="74" customFormat="1" ht="12" x14ac:dyDescent="0.2">
      <c r="B38" s="95" t="str">
        <f>VLOOKUP(41,TXT_K,$G$3,0)</f>
        <v>Leistungsdaten mit Abdeckung, Rollrost Typ 941-17-B (f.Q. 70%)</v>
      </c>
      <c r="C38" s="91"/>
      <c r="E38" s="92"/>
      <c r="F38" s="93"/>
      <c r="G38" s="93"/>
      <c r="H38" s="93"/>
      <c r="I38" s="92"/>
      <c r="J38" s="93"/>
      <c r="K38" s="92"/>
      <c r="L38" s="93"/>
      <c r="M38" s="92"/>
      <c r="N38" s="93"/>
    </row>
    <row r="39" spans="2:15" s="74" customFormat="1" ht="12" x14ac:dyDescent="0.2">
      <c r="B39" s="95" t="str">
        <f>VLOOKUP(42,TXT_K,$G$3,0)</f>
        <v>Bei abweichenden Abdeckungen, ist mit einer Leistungsminderung zu rechnen</v>
      </c>
      <c r="C39" s="91"/>
      <c r="E39" s="92"/>
      <c r="F39" s="93"/>
      <c r="G39" s="93"/>
      <c r="H39" s="93"/>
      <c r="I39" s="92"/>
      <c r="J39" s="93"/>
      <c r="K39" s="92"/>
      <c r="L39" s="93"/>
      <c r="M39" s="92"/>
      <c r="N39" s="93"/>
    </row>
    <row r="40" spans="2:15" s="74" customFormat="1" ht="12" x14ac:dyDescent="0.2">
      <c r="B40" s="76" t="str">
        <f>VLOOKUP(28,TXT_K,$G$3,0)</f>
        <v>Minimale Wassermassenströme von ca. 20 kg/h sollen eingehalten werden</v>
      </c>
    </row>
    <row r="41" spans="2:15" ht="9.75" customHeight="1" x14ac:dyDescent="0.25"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2:15" x14ac:dyDescent="0.25">
      <c r="B42" s="75" t="str">
        <f>VLOOKUP(35,TXT_K,$G$3,0)</f>
        <v>T4: Trockene Kühlung - 4-Leiter-System ohne Ablaufstutzen für Kondensat</v>
      </c>
      <c r="C42" s="6"/>
      <c r="D42" s="6"/>
      <c r="E42" s="6"/>
      <c r="F42" s="6"/>
      <c r="G42" s="6"/>
      <c r="H42" s="6"/>
      <c r="I42" s="6"/>
      <c r="J42" s="6"/>
      <c r="K42" s="6"/>
      <c r="M42" s="6"/>
      <c r="N42" s="6"/>
      <c r="O42" s="6"/>
    </row>
    <row r="43" spans="2:15" x14ac:dyDescent="0.25">
      <c r="B43" s="76" t="str">
        <f>VLOOKUP(5,TXT_K,$G$3,0)</f>
        <v>Qt [W]: Kühlleistung gesamt</v>
      </c>
      <c r="C43" s="6"/>
      <c r="D43" s="6"/>
      <c r="E43" s="6"/>
      <c r="F43" s="6"/>
      <c r="G43" s="6"/>
      <c r="H43" s="6"/>
      <c r="I43" s="6"/>
      <c r="M43" s="6"/>
      <c r="N43" s="6"/>
      <c r="O43" s="94" t="str">
        <f>VLOOKUP(26,TXT_K,$G$3,0)</f>
        <v>Querstromventilator Typ EC65  24VDC</v>
      </c>
    </row>
    <row r="44" spans="2:15" x14ac:dyDescent="0.25">
      <c r="B44" s="76" t="str">
        <f>VLOOKUP(6,TXT_K,$G$3,0)</f>
        <v>Qs [W]: Kühlleistung sensibel</v>
      </c>
      <c r="C44" s="6"/>
      <c r="D44" s="6"/>
      <c r="E44" s="6"/>
      <c r="F44" s="6"/>
      <c r="G44" s="6"/>
      <c r="H44" s="6"/>
      <c r="I44" s="6"/>
      <c r="J44" s="6"/>
      <c r="K44" s="6"/>
      <c r="M44" s="6"/>
      <c r="N44" s="6"/>
      <c r="O44" s="98" t="str">
        <f>VLOOKUP(10,TXT_K,$G$3,0)</f>
        <v>M: Anzahl Motoren</v>
      </c>
    </row>
    <row r="45" spans="2:15" x14ac:dyDescent="0.25">
      <c r="B45" s="74" t="str">
        <f>VLOOKUP(38,TXT_K,$G$3,0)</f>
        <v>X: Erweiterung des Bodenkanals um ein Regulierungsmodul zu integrieren</v>
      </c>
      <c r="C45" s="6"/>
      <c r="D45" s="6"/>
      <c r="E45" s="6"/>
      <c r="F45" s="6"/>
      <c r="G45" s="6"/>
      <c r="H45" s="6"/>
      <c r="I45" s="6"/>
      <c r="J45" s="6"/>
      <c r="K45" s="6"/>
      <c r="M45" s="6"/>
      <c r="N45" s="6"/>
      <c r="O45" s="98" t="str">
        <f>VLOOKUP(14,TXT_K,$G$3,0)</f>
        <v>QVw: Anzahl Ventilatoren-Walzen</v>
      </c>
    </row>
    <row r="46" spans="2:15" x14ac:dyDescent="0.25">
      <c r="B46" s="74" t="str">
        <f>VLOOKUP(33,TXT_K,$G$3,0)</f>
        <v>Die Zwischenlängen werden durch Leerstücke angepasst.</v>
      </c>
      <c r="C46" s="6"/>
      <c r="D46" s="6"/>
      <c r="E46" s="6"/>
      <c r="F46" s="6"/>
      <c r="G46" s="6"/>
      <c r="H46" s="6"/>
      <c r="I46" s="6"/>
      <c r="J46" s="6"/>
      <c r="K46" s="6"/>
      <c r="M46" s="6"/>
      <c r="N46" s="6"/>
      <c r="O46" s="98" t="str">
        <f>VLOOKUP(15,TXT_K,$G$3,0)</f>
        <v>ṁ: Wassermassenstrom [kg/h]</v>
      </c>
    </row>
    <row r="47" spans="2:15" x14ac:dyDescent="0.25">
      <c r="B47" s="74" t="str">
        <f>VLOOKUP(29,TXT_K,$G$3,0)</f>
        <v>Bei Veränderungen der Standardteile können Abweichungen entstehen</v>
      </c>
    </row>
    <row r="48" spans="2:15" x14ac:dyDescent="0.25"/>
    <row r="49" spans="15:15" x14ac:dyDescent="0.25"/>
    <row r="50" spans="15:15" x14ac:dyDescent="0.25"/>
    <row r="51" spans="15:15" x14ac:dyDescent="0.25"/>
    <row r="52" spans="15:15" x14ac:dyDescent="0.25"/>
    <row r="53" spans="15:15" x14ac:dyDescent="0.25"/>
    <row r="54" spans="15:15" x14ac:dyDescent="0.25">
      <c r="O54" s="73" t="s">
        <v>1050</v>
      </c>
    </row>
    <row r="55" spans="15:15" x14ac:dyDescent="0.25"/>
  </sheetData>
  <sheetProtection algorithmName="SHA-512" hashValue="+3+6MXkKbQH0hTY8sl9zwdJP8PJtj/zsZLEj6tvKWSCDI0xpabjnJf9ZbYrhRSmIeXu359bjMRgd2jWUl7tWdQ==" saltValue="g49ViGoxo0aipfmHSX1K2w==" spinCount="100000" sheet="1" objects="1" scenarios="1" selectLockedCells="1"/>
  <protectedRanges>
    <protectedRange sqref="C3:H5" name="Bereich1"/>
  </protectedRanges>
  <mergeCells count="32">
    <mergeCell ref="G2:H2"/>
    <mergeCell ref="G3:H5"/>
    <mergeCell ref="C2:D2"/>
    <mergeCell ref="C3:D3"/>
    <mergeCell ref="C4:D4"/>
    <mergeCell ref="C5:D5"/>
    <mergeCell ref="E2:F2"/>
    <mergeCell ref="E3:F3"/>
    <mergeCell ref="E4:F4"/>
    <mergeCell ref="E5:F5"/>
    <mergeCell ref="B14:B15"/>
    <mergeCell ref="C14:C15"/>
    <mergeCell ref="O14:O15"/>
    <mergeCell ref="F9:N9"/>
    <mergeCell ref="E11:N11"/>
    <mergeCell ref="B12:B13"/>
    <mergeCell ref="C12:C13"/>
    <mergeCell ref="O12:O13"/>
    <mergeCell ref="B16:B17"/>
    <mergeCell ref="C16:C17"/>
    <mergeCell ref="O16:O17"/>
    <mergeCell ref="B18:B19"/>
    <mergeCell ref="C18:C19"/>
    <mergeCell ref="O18:O19"/>
    <mergeCell ref="F28:N28"/>
    <mergeCell ref="E30:N30"/>
    <mergeCell ref="B20:B21"/>
    <mergeCell ref="C20:C21"/>
    <mergeCell ref="O20:O21"/>
    <mergeCell ref="B22:B23"/>
    <mergeCell ref="C22:C23"/>
    <mergeCell ref="O22:O23"/>
  </mergeCells>
  <conditionalFormatting sqref="C3:D5">
    <cfRule type="expression" dxfId="233" priority="2">
      <formula>$J$3&lt;&gt;""</formula>
    </cfRule>
  </conditionalFormatting>
  <conditionalFormatting sqref="E3:F5">
    <cfRule type="expression" dxfId="232" priority="1">
      <formula>$J$4&lt;&gt;""</formula>
    </cfRule>
  </conditionalFormatting>
  <dataValidations count="7">
    <dataValidation type="whole" allowBlank="1" showInputMessage="1" showErrorMessage="1" sqref="C3:D3" xr:uid="{3A858102-60DA-4CE7-A27F-B55911C48788}">
      <formula1>30</formula1>
      <formula2>90</formula2>
    </dataValidation>
    <dataValidation type="whole" allowBlank="1" showInputMessage="1" showErrorMessage="1" sqref="C4:D4" xr:uid="{6588AC07-9B8A-4A0C-941B-5E4AB4957348}">
      <formula1>25</formula1>
      <formula2>85</formula2>
    </dataValidation>
    <dataValidation type="whole" allowBlank="1" showInputMessage="1" showErrorMessage="1" sqref="C5:D5" xr:uid="{A36FAEA2-69D0-4A3B-9C7B-B0A7ADAD9E16}">
      <formula1>15</formula1>
      <formula2>29</formula2>
    </dataValidation>
    <dataValidation type="whole" allowBlank="1" showInputMessage="1" showErrorMessage="1" sqref="E3:F3" xr:uid="{331581CB-5891-4B7F-9BE7-8DD86004C2BF}">
      <formula1>4</formula1>
      <formula2>20</formula2>
    </dataValidation>
    <dataValidation type="whole" allowBlank="1" showInputMessage="1" showErrorMessage="1" sqref="E4:F4" xr:uid="{7E39B19A-87F8-4C71-95AD-816858E7F5F7}">
      <formula1>6</formula1>
      <formula2>24</formula2>
    </dataValidation>
    <dataValidation type="whole" allowBlank="1" showInputMessage="1" showErrorMessage="1" sqref="E5:F5" xr:uid="{B19E0E89-5F34-48DD-A035-5555541BC435}">
      <formula1>20</formula1>
      <formula2>30</formula2>
    </dataValidation>
    <dataValidation type="whole" allowBlank="1" showInputMessage="1" showErrorMessage="1" sqref="G3:H5" xr:uid="{680E3307-5C5F-445D-982A-79E1EE045A46}">
      <formula1>2</formula1>
      <formula2>3</formula2>
    </dataValidation>
  </dataValidations>
  <pageMargins left="0.51181102362204722" right="0.31496062992125984" top="0.94488188976377963" bottom="0.55118110236220474" header="0.31496062992125984" footer="0.11811023622047245"/>
  <pageSetup paperSize="9" orientation="portrait" r:id="rId1"/>
  <headerFooter>
    <oddHeader>&amp;C&amp;G</oddHeader>
    <oddFooter>&amp;C&amp;G</oddFooter>
  </headerFooter>
  <ignoredErrors>
    <ignoredError sqref="F12:L21 F31:L36 F23:L23 F22:H22 I22:L22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" id="{D1EDDB08-3C65-4DD9-9A27-A79276969B5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E12</xm:sqref>
        </x14:conditionalFormatting>
        <x14:conditionalFormatting xmlns:xm="http://schemas.microsoft.com/office/excel/2006/main">
          <x14:cfRule type="iconSet" priority="64" id="{4CC32052-51BD-4168-9D0C-E0CBFE982C6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E14</xm:sqref>
        </x14:conditionalFormatting>
        <x14:conditionalFormatting xmlns:xm="http://schemas.microsoft.com/office/excel/2006/main">
          <x14:cfRule type="iconSet" priority="63" id="{26774955-257E-44A2-AB02-AC366C68005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E16</xm:sqref>
        </x14:conditionalFormatting>
        <x14:conditionalFormatting xmlns:xm="http://schemas.microsoft.com/office/excel/2006/main">
          <x14:cfRule type="iconSet" priority="62" id="{63FB480F-F05D-4DFF-8303-28345C68260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</xm:sqref>
        </x14:conditionalFormatting>
        <x14:conditionalFormatting xmlns:xm="http://schemas.microsoft.com/office/excel/2006/main">
          <x14:cfRule type="iconSet" priority="61" id="{DBDCFECF-9C79-47B8-97F8-50CB1DAF575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</xm:sqref>
        </x14:conditionalFormatting>
        <x14:conditionalFormatting xmlns:xm="http://schemas.microsoft.com/office/excel/2006/main">
          <x14:cfRule type="iconSet" priority="60" id="{615620CF-0FA0-41B4-8AE9-50A88239ECE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</xm:sqref>
        </x14:conditionalFormatting>
        <x14:conditionalFormatting xmlns:xm="http://schemas.microsoft.com/office/excel/2006/main">
          <x14:cfRule type="iconSet" priority="41" id="{E0E2114C-C3FF-481A-8832-86857DF1450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E31</xm:sqref>
        </x14:conditionalFormatting>
        <x14:conditionalFormatting xmlns:xm="http://schemas.microsoft.com/office/excel/2006/main">
          <x14:cfRule type="iconSet" priority="40" id="{53C6DD40-C87C-47D4-B424-0DD3000E4CB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</xm:sqref>
        </x14:conditionalFormatting>
        <x14:conditionalFormatting xmlns:xm="http://schemas.microsoft.com/office/excel/2006/main">
          <x14:cfRule type="iconSet" priority="39" id="{5AB2B4E9-77C8-4FA1-9E12-104657C34B6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E33</xm:sqref>
        </x14:conditionalFormatting>
        <x14:conditionalFormatting xmlns:xm="http://schemas.microsoft.com/office/excel/2006/main">
          <x14:cfRule type="iconSet" priority="38" id="{85AD7F9E-46C2-4B88-A7F2-CC428105B4C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</xm:sqref>
        </x14:conditionalFormatting>
        <x14:conditionalFormatting xmlns:xm="http://schemas.microsoft.com/office/excel/2006/main">
          <x14:cfRule type="iconSet" priority="37" id="{DAB5C82D-5C53-48C5-AF8A-D6C95C36AA9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E35</xm:sqref>
        </x14:conditionalFormatting>
        <x14:conditionalFormatting xmlns:xm="http://schemas.microsoft.com/office/excel/2006/main">
          <x14:cfRule type="iconSet" priority="36" id="{E40AD4A9-E03E-47E2-964B-6DE97FFBBC3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E36:E39</xm:sqref>
        </x14:conditionalFormatting>
        <x14:conditionalFormatting xmlns:xm="http://schemas.microsoft.com/office/excel/2006/main">
          <x14:cfRule type="iconSet" priority="14" id="{510D3AA7-E755-4470-A91D-BD0E46EE503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G12</xm:sqref>
        </x14:conditionalFormatting>
        <x14:conditionalFormatting xmlns:xm="http://schemas.microsoft.com/office/excel/2006/main">
          <x14:cfRule type="iconSet" priority="13" id="{6B28C1B1-67EB-48E0-BD5F-ADBFB0EAD8F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G14</xm:sqref>
        </x14:conditionalFormatting>
        <x14:conditionalFormatting xmlns:xm="http://schemas.microsoft.com/office/excel/2006/main">
          <x14:cfRule type="iconSet" priority="12" id="{E547F1B9-A3A2-4132-842C-57B0D3002BC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G16</xm:sqref>
        </x14:conditionalFormatting>
        <x14:conditionalFormatting xmlns:xm="http://schemas.microsoft.com/office/excel/2006/main">
          <x14:cfRule type="iconSet" priority="11" id="{51455ECE-9907-410C-8017-4058C4421F5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G18</xm:sqref>
        </x14:conditionalFormatting>
        <x14:conditionalFormatting xmlns:xm="http://schemas.microsoft.com/office/excel/2006/main">
          <x14:cfRule type="iconSet" priority="10" id="{7355E1FE-DDFB-46E5-9C30-1DDEFFCB1A7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G20</xm:sqref>
        </x14:conditionalFormatting>
        <x14:conditionalFormatting xmlns:xm="http://schemas.microsoft.com/office/excel/2006/main">
          <x14:cfRule type="iconSet" priority="9" id="{2D310F38-32CE-4AE2-8ECD-8F854096A9F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G22</xm:sqref>
        </x14:conditionalFormatting>
        <x14:conditionalFormatting xmlns:xm="http://schemas.microsoft.com/office/excel/2006/main">
          <x14:cfRule type="iconSet" priority="8" id="{23D4BD22-B193-41B5-8C35-1A18F88EAFF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G31</xm:sqref>
        </x14:conditionalFormatting>
        <x14:conditionalFormatting xmlns:xm="http://schemas.microsoft.com/office/excel/2006/main">
          <x14:cfRule type="iconSet" priority="7" id="{C309E848-3D97-417E-B754-33946EB994E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G32</xm:sqref>
        </x14:conditionalFormatting>
        <x14:conditionalFormatting xmlns:xm="http://schemas.microsoft.com/office/excel/2006/main">
          <x14:cfRule type="iconSet" priority="6" id="{7187ACA1-82DC-4FCA-B7AA-8E817EB1BF7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G33</xm:sqref>
        </x14:conditionalFormatting>
        <x14:conditionalFormatting xmlns:xm="http://schemas.microsoft.com/office/excel/2006/main">
          <x14:cfRule type="iconSet" priority="5" id="{0A67D772-7276-4690-A128-9B98EEAF237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G34</xm:sqref>
        </x14:conditionalFormatting>
        <x14:conditionalFormatting xmlns:xm="http://schemas.microsoft.com/office/excel/2006/main">
          <x14:cfRule type="iconSet" priority="4" id="{5A13E2E8-266F-425D-A499-32F459093CF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G35</xm:sqref>
        </x14:conditionalFormatting>
        <x14:conditionalFormatting xmlns:xm="http://schemas.microsoft.com/office/excel/2006/main">
          <x14:cfRule type="iconSet" priority="3" id="{623CF8E6-416D-472F-A27F-62FCB68FB6D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G36</xm:sqref>
        </x14:conditionalFormatting>
        <x14:conditionalFormatting xmlns:xm="http://schemas.microsoft.com/office/excel/2006/main">
          <x14:cfRule type="iconSet" priority="59" id="{FE24A7B8-C4EC-4F30-80EB-1DFBD9FDA25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I12</xm:sqref>
        </x14:conditionalFormatting>
        <x14:conditionalFormatting xmlns:xm="http://schemas.microsoft.com/office/excel/2006/main">
          <x14:cfRule type="iconSet" priority="58" id="{DEA016C8-0460-42DA-9FE4-FB52229543C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I14</xm:sqref>
        </x14:conditionalFormatting>
        <x14:conditionalFormatting xmlns:xm="http://schemas.microsoft.com/office/excel/2006/main">
          <x14:cfRule type="iconSet" priority="57" id="{EC843C88-F195-410F-8F42-6103F14395C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56" id="{0C61DD20-C98E-4B9A-A47F-74D036ACBFF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I18</xm:sqref>
        </x14:conditionalFormatting>
        <x14:conditionalFormatting xmlns:xm="http://schemas.microsoft.com/office/excel/2006/main">
          <x14:cfRule type="iconSet" priority="55" id="{A19AE7C0-6575-47A4-9E60-E498C11D186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I20</xm:sqref>
        </x14:conditionalFormatting>
        <x14:conditionalFormatting xmlns:xm="http://schemas.microsoft.com/office/excel/2006/main">
          <x14:cfRule type="iconSet" priority="54" id="{9B66C146-B9DD-45D4-8950-6A0DF839A41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I22</xm:sqref>
        </x14:conditionalFormatting>
        <x14:conditionalFormatting xmlns:xm="http://schemas.microsoft.com/office/excel/2006/main">
          <x14:cfRule type="iconSet" priority="35" id="{F3921A58-C275-4CF4-A5DF-A4571526FFB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I31</xm:sqref>
        </x14:conditionalFormatting>
        <x14:conditionalFormatting xmlns:xm="http://schemas.microsoft.com/office/excel/2006/main">
          <x14:cfRule type="iconSet" priority="34" id="{16EF8F26-43FD-4BB0-B76E-B8F7CAC642B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I32</xm:sqref>
        </x14:conditionalFormatting>
        <x14:conditionalFormatting xmlns:xm="http://schemas.microsoft.com/office/excel/2006/main">
          <x14:cfRule type="iconSet" priority="33" id="{4062DF7B-AFD2-4BCF-A0C1-C6CD98FFB07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I33</xm:sqref>
        </x14:conditionalFormatting>
        <x14:conditionalFormatting xmlns:xm="http://schemas.microsoft.com/office/excel/2006/main">
          <x14:cfRule type="iconSet" priority="32" id="{D86190C6-C255-4A8C-8D34-EB656CE25B9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I34</xm:sqref>
        </x14:conditionalFormatting>
        <x14:conditionalFormatting xmlns:xm="http://schemas.microsoft.com/office/excel/2006/main">
          <x14:cfRule type="iconSet" priority="31" id="{2329B744-9950-439C-9130-9EFE25669BF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I35</xm:sqref>
        </x14:conditionalFormatting>
        <x14:conditionalFormatting xmlns:xm="http://schemas.microsoft.com/office/excel/2006/main">
          <x14:cfRule type="iconSet" priority="30" id="{C27F71D7-47A8-4BE4-9FDF-557DC221EBE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I36</xm:sqref>
        </x14:conditionalFormatting>
        <x14:conditionalFormatting xmlns:xm="http://schemas.microsoft.com/office/excel/2006/main">
          <x14:cfRule type="iconSet" priority="17" id="{0EE5389D-D69C-480C-8463-FE0F8CA4D55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I37:I39</xm:sqref>
        </x14:conditionalFormatting>
        <x14:conditionalFormatting xmlns:xm="http://schemas.microsoft.com/office/excel/2006/main">
          <x14:cfRule type="iconSet" priority="53" id="{AD0B7C42-3D4D-4CEE-999D-4804C51A83D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K12</xm:sqref>
        </x14:conditionalFormatting>
        <x14:conditionalFormatting xmlns:xm="http://schemas.microsoft.com/office/excel/2006/main">
          <x14:cfRule type="iconSet" priority="52" id="{6FBD4769-F483-44AC-90B0-947E5641EB3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K14</xm:sqref>
        </x14:conditionalFormatting>
        <x14:conditionalFormatting xmlns:xm="http://schemas.microsoft.com/office/excel/2006/main">
          <x14:cfRule type="iconSet" priority="51" id="{BA329D16-A47F-4523-B8AE-A2D72623515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K16</xm:sqref>
        </x14:conditionalFormatting>
        <x14:conditionalFormatting xmlns:xm="http://schemas.microsoft.com/office/excel/2006/main">
          <x14:cfRule type="iconSet" priority="50" id="{1EA985C8-2621-42D9-A4BE-F2E3ECB38AD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K18</xm:sqref>
        </x14:conditionalFormatting>
        <x14:conditionalFormatting xmlns:xm="http://schemas.microsoft.com/office/excel/2006/main">
          <x14:cfRule type="iconSet" priority="49" id="{C6CAC7AE-4B72-4B90-B1C4-64F97EB1C91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K20</xm:sqref>
        </x14:conditionalFormatting>
        <x14:conditionalFormatting xmlns:xm="http://schemas.microsoft.com/office/excel/2006/main">
          <x14:cfRule type="iconSet" priority="48" id="{1A778B9F-59C8-415B-AE9D-17C0111F5AB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K22</xm:sqref>
        </x14:conditionalFormatting>
        <x14:conditionalFormatting xmlns:xm="http://schemas.microsoft.com/office/excel/2006/main">
          <x14:cfRule type="iconSet" priority="29" id="{F8D10D71-A7C5-434C-9FA1-F3BC3685821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K31</xm:sqref>
        </x14:conditionalFormatting>
        <x14:conditionalFormatting xmlns:xm="http://schemas.microsoft.com/office/excel/2006/main">
          <x14:cfRule type="iconSet" priority="28" id="{D611A8D5-1545-4ADE-B3BB-BDF9BF80A3E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K32</xm:sqref>
        </x14:conditionalFormatting>
        <x14:conditionalFormatting xmlns:xm="http://schemas.microsoft.com/office/excel/2006/main">
          <x14:cfRule type="iconSet" priority="27" id="{161A9604-69FF-447E-B8BB-479F2742947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K33</xm:sqref>
        </x14:conditionalFormatting>
        <x14:conditionalFormatting xmlns:xm="http://schemas.microsoft.com/office/excel/2006/main">
          <x14:cfRule type="iconSet" priority="26" id="{661AD4DD-E3B8-4E03-855F-CAB90ADB9E4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K34</xm:sqref>
        </x14:conditionalFormatting>
        <x14:conditionalFormatting xmlns:xm="http://schemas.microsoft.com/office/excel/2006/main">
          <x14:cfRule type="iconSet" priority="25" id="{5F056D18-23A9-42D2-8E79-6B8C75A76C2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K35</xm:sqref>
        </x14:conditionalFormatting>
        <x14:conditionalFormatting xmlns:xm="http://schemas.microsoft.com/office/excel/2006/main">
          <x14:cfRule type="iconSet" priority="24" id="{FCF53F22-A98C-4AC3-B854-44D19B6C6CA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K36</xm:sqref>
        </x14:conditionalFormatting>
        <x14:conditionalFormatting xmlns:xm="http://schemas.microsoft.com/office/excel/2006/main">
          <x14:cfRule type="iconSet" priority="16" id="{7FDF616C-9A87-470C-ADC9-10E7F0E9F83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K37:K39</xm:sqref>
        </x14:conditionalFormatting>
        <x14:conditionalFormatting xmlns:xm="http://schemas.microsoft.com/office/excel/2006/main">
          <x14:cfRule type="iconSet" priority="47" id="{BA1B423C-6176-4E69-B9E4-12776AE4517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M12</xm:sqref>
        </x14:conditionalFormatting>
        <x14:conditionalFormatting xmlns:xm="http://schemas.microsoft.com/office/excel/2006/main">
          <x14:cfRule type="iconSet" priority="46" id="{4E35E404-1423-43DA-A27E-79489429B40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M14</xm:sqref>
        </x14:conditionalFormatting>
        <x14:conditionalFormatting xmlns:xm="http://schemas.microsoft.com/office/excel/2006/main">
          <x14:cfRule type="iconSet" priority="45" id="{C4ED18F7-896A-4909-8031-DD08B5C1038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M16</xm:sqref>
        </x14:conditionalFormatting>
        <x14:conditionalFormatting xmlns:xm="http://schemas.microsoft.com/office/excel/2006/main">
          <x14:cfRule type="iconSet" priority="44" id="{6218EB3D-0ECF-4710-936D-E60255ACAB3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M18</xm:sqref>
        </x14:conditionalFormatting>
        <x14:conditionalFormatting xmlns:xm="http://schemas.microsoft.com/office/excel/2006/main">
          <x14:cfRule type="iconSet" priority="43" id="{CF6AD068-2017-4861-8CA6-33FE94FC4C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M20</xm:sqref>
        </x14:conditionalFormatting>
        <x14:conditionalFormatting xmlns:xm="http://schemas.microsoft.com/office/excel/2006/main">
          <x14:cfRule type="iconSet" priority="42" id="{D234CD2A-269B-4316-85E7-696EF7CAFD0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M22</xm:sqref>
        </x14:conditionalFormatting>
        <x14:conditionalFormatting xmlns:xm="http://schemas.microsoft.com/office/excel/2006/main">
          <x14:cfRule type="iconSet" priority="23" id="{307EB927-8D93-4DDA-8F40-A5BDE9B417A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M31</xm:sqref>
        </x14:conditionalFormatting>
        <x14:conditionalFormatting xmlns:xm="http://schemas.microsoft.com/office/excel/2006/main">
          <x14:cfRule type="iconSet" priority="22" id="{CE6CE952-9ACA-4DC6-BD3F-F925CC826C8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M32</xm:sqref>
        </x14:conditionalFormatting>
        <x14:conditionalFormatting xmlns:xm="http://schemas.microsoft.com/office/excel/2006/main">
          <x14:cfRule type="iconSet" priority="21" id="{191C7AFD-1FE4-4F16-BEB5-E8F07661F6B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M33</xm:sqref>
        </x14:conditionalFormatting>
        <x14:conditionalFormatting xmlns:xm="http://schemas.microsoft.com/office/excel/2006/main">
          <x14:cfRule type="iconSet" priority="20" id="{DA576235-6277-4DE5-B1B5-5AD927E5F64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M34</xm:sqref>
        </x14:conditionalFormatting>
        <x14:conditionalFormatting xmlns:xm="http://schemas.microsoft.com/office/excel/2006/main">
          <x14:cfRule type="iconSet" priority="19" id="{DBDDA4C5-C80F-461C-B8E0-0C2F8A46E67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M35</xm:sqref>
        </x14:conditionalFormatting>
        <x14:conditionalFormatting xmlns:xm="http://schemas.microsoft.com/office/excel/2006/main">
          <x14:cfRule type="iconSet" priority="18" id="{5BADD1F2-3E5F-4AA2-85C5-75979FB2FCD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M36</xm:sqref>
        </x14:conditionalFormatting>
        <x14:conditionalFormatting xmlns:xm="http://schemas.microsoft.com/office/excel/2006/main">
          <x14:cfRule type="iconSet" priority="15" id="{BDA817A2-2F66-458C-8882-D1A5F9125C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M37:M39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55"/>
  <sheetViews>
    <sheetView showGridLines="0" showRowColHeaders="0" workbookViewId="0">
      <selection activeCell="D3" sqref="D3:E3"/>
    </sheetView>
  </sheetViews>
  <sheetFormatPr baseColWidth="10" defaultColWidth="0" defaultRowHeight="15" zeroHeight="1" x14ac:dyDescent="0.25"/>
  <cols>
    <col min="1" max="1" width="3.28515625" customWidth="1"/>
    <col min="2" max="2" width="9.42578125" customWidth="1"/>
    <col min="3" max="3" width="6.28515625" customWidth="1"/>
    <col min="4" max="4" width="5" customWidth="1"/>
    <col min="5" max="5" width="7.28515625" customWidth="1"/>
    <col min="6" max="6" width="6.28515625" customWidth="1"/>
    <col min="7" max="7" width="7.28515625" customWidth="1"/>
    <col min="8" max="8" width="6.28515625" customWidth="1"/>
    <col min="9" max="9" width="7.28515625" customWidth="1"/>
    <col min="10" max="10" width="6.28515625" customWidth="1"/>
    <col min="11" max="11" width="7.28515625" customWidth="1"/>
    <col min="12" max="12" width="6.28515625" customWidth="1"/>
    <col min="13" max="13" width="7.28515625" customWidth="1"/>
    <col min="14" max="14" width="6.28515625" customWidth="1"/>
    <col min="15" max="15" width="5.28515625" customWidth="1"/>
    <col min="16" max="16" width="3.28515625" customWidth="1"/>
    <col min="17" max="16384" width="11.42578125" hidden="1"/>
  </cols>
  <sheetData>
    <row r="1" spans="2:15" x14ac:dyDescent="0.25"/>
    <row r="2" spans="2:15" x14ac:dyDescent="0.25">
      <c r="C2" s="416" t="s">
        <v>936</v>
      </c>
      <c r="D2" s="416"/>
      <c r="E2" s="417" t="s">
        <v>937</v>
      </c>
      <c r="F2" s="417"/>
      <c r="G2" s="413" t="s">
        <v>938</v>
      </c>
      <c r="H2" s="413"/>
    </row>
    <row r="3" spans="2:15" ht="23.25" x14ac:dyDescent="0.35">
      <c r="B3" s="286" t="s">
        <v>933</v>
      </c>
      <c r="C3" s="415">
        <v>50</v>
      </c>
      <c r="D3" s="415"/>
      <c r="E3" s="418">
        <v>12</v>
      </c>
      <c r="F3" s="418"/>
      <c r="G3" s="414">
        <v>2</v>
      </c>
      <c r="H3" s="414"/>
      <c r="J3" s="284" t="str">
        <f>IF(OR((C3-C4)&lt;3,(C4-C5)&lt;3,(C3-C4)&gt;25,C5&lt;15,ISERROR(F31)),"Bitte überprüfen Sie ihre Eingaben!","")</f>
        <v/>
      </c>
    </row>
    <row r="4" spans="2:15" ht="23.25" x14ac:dyDescent="0.35">
      <c r="B4" s="286" t="s">
        <v>934</v>
      </c>
      <c r="C4" s="415">
        <v>40</v>
      </c>
      <c r="D4" s="415"/>
      <c r="E4" s="418">
        <v>16</v>
      </c>
      <c r="F4" s="418"/>
      <c r="G4" s="414"/>
      <c r="H4" s="414"/>
      <c r="J4" s="284" t="str">
        <f>IF(ISERROR(F12),"Bitte überprüfen Sie ihre Eingaben!","")</f>
        <v/>
      </c>
    </row>
    <row r="5" spans="2:15" ht="23.25" x14ac:dyDescent="0.35">
      <c r="B5" s="286" t="s">
        <v>935</v>
      </c>
      <c r="C5" s="415">
        <v>20</v>
      </c>
      <c r="D5" s="415"/>
      <c r="E5" s="418">
        <v>26</v>
      </c>
      <c r="F5" s="418"/>
      <c r="G5" s="414"/>
      <c r="H5" s="414"/>
    </row>
    <row r="6" spans="2:15" x14ac:dyDescent="0.25"/>
    <row r="7" spans="2:15" ht="21" x14ac:dyDescent="0.35">
      <c r="B7" s="19" t="str">
        <f>VLOOKUP(1,TXT_K,$G$3,0)</f>
        <v>Kühlmedium  (PKW)</v>
      </c>
      <c r="C7" s="19"/>
      <c r="D7" s="19"/>
      <c r="E7" s="19"/>
      <c r="F7" s="20" t="str">
        <f>CONCATENATE(E3,"°C"," / ",E4,"°C")</f>
        <v>12°C / 16°C</v>
      </c>
      <c r="G7" s="20"/>
      <c r="H7" s="20"/>
      <c r="I7" s="20"/>
      <c r="J7" s="19"/>
      <c r="K7" s="19"/>
      <c r="L7" s="19"/>
      <c r="M7" s="21" t="str">
        <f>VLOOKUP(8,TXT_K,$G$3,0)</f>
        <v>Raumtemperatur</v>
      </c>
      <c r="N7" s="21"/>
      <c r="O7" s="22" t="str">
        <f>CONCATENATE("+",E5,"°C")</f>
        <v>+26°C</v>
      </c>
    </row>
    <row r="8" spans="2:15" s="74" customFormat="1" ht="12" x14ac:dyDescent="0.2"/>
    <row r="9" spans="2:15" s="74" customFormat="1" ht="12" x14ac:dyDescent="0.2">
      <c r="B9" s="74" t="str">
        <f>VLOOKUP(2,TXT_K,$G$3,0)</f>
        <v>Modell</v>
      </c>
      <c r="F9" s="422" t="str">
        <f>VLOOKUP(7,TXT_K,$G$3,0)</f>
        <v>Leistungsprozent</v>
      </c>
      <c r="G9" s="422"/>
      <c r="H9" s="422"/>
      <c r="I9" s="422"/>
      <c r="J9" s="422"/>
      <c r="K9" s="422"/>
      <c r="L9" s="422"/>
      <c r="M9" s="422"/>
      <c r="N9" s="422"/>
    </row>
    <row r="10" spans="2:15" ht="21" x14ac:dyDescent="0.35">
      <c r="B10" s="14" t="s">
        <v>998</v>
      </c>
      <c r="E10" s="72"/>
      <c r="F10" s="71">
        <v>0.3</v>
      </c>
      <c r="G10" s="3"/>
      <c r="H10" s="3">
        <v>0.4</v>
      </c>
      <c r="I10" s="2"/>
      <c r="J10" s="2">
        <v>0.5</v>
      </c>
      <c r="K10" s="1"/>
      <c r="L10" s="1">
        <v>0.6</v>
      </c>
      <c r="M10" s="4"/>
      <c r="N10" s="4">
        <v>1</v>
      </c>
      <c r="O10" s="6"/>
    </row>
    <row r="11" spans="2:15" s="74" customFormat="1" ht="28.5" customHeight="1" x14ac:dyDescent="0.2">
      <c r="B11" s="85" t="str">
        <f>VLOOKUP(3,TXT_K,$G$3,0)</f>
        <v>Wanne  Bk [mm]</v>
      </c>
      <c r="C11" s="85" t="str">
        <f>VLOOKUP(4,TXT_K,$G$3,0)</f>
        <v>Element He [mm]</v>
      </c>
      <c r="E11" s="421" t="str">
        <f>VLOOKUP(20,TXT_K,$G$3,0)</f>
        <v>Kühlleistung [W]</v>
      </c>
      <c r="F11" s="421"/>
      <c r="G11" s="421"/>
      <c r="H11" s="421"/>
      <c r="I11" s="421"/>
      <c r="J11" s="421"/>
      <c r="K11" s="421"/>
      <c r="L11" s="421"/>
      <c r="M11" s="421"/>
      <c r="N11" s="421"/>
      <c r="O11" s="66" t="s">
        <v>970</v>
      </c>
    </row>
    <row r="12" spans="2:15" x14ac:dyDescent="0.25">
      <c r="B12" s="423" t="s">
        <v>999</v>
      </c>
      <c r="C12" s="425" t="s">
        <v>1002</v>
      </c>
      <c r="D12" s="63" t="s">
        <v>1005</v>
      </c>
      <c r="E12" s="67">
        <f>ROUND(F12/(($E$4-$E$3)*1.161),0)</f>
        <v>23</v>
      </c>
      <c r="F12" s="68">
        <f>ROUND(F$14*0.5,0)</f>
        <v>108</v>
      </c>
      <c r="G12" s="30">
        <f>ROUND(H12/(($E$4-$E$3)*1.161),0)</f>
        <v>33</v>
      </c>
      <c r="H12" s="48">
        <f>ROUND(H$14*0.5,0)</f>
        <v>155</v>
      </c>
      <c r="I12" s="32">
        <f>ROUND(J12/(($E$4-$E$3)*1.161),0)</f>
        <v>40</v>
      </c>
      <c r="J12" s="51">
        <f>ROUND(J$14*0.51,0)</f>
        <v>187</v>
      </c>
      <c r="K12" s="34">
        <f>ROUND(L12/(($E$4-$E$3)*1.161),0)</f>
        <v>47</v>
      </c>
      <c r="L12" s="55">
        <f>ROUND(L$14*0.51,0)</f>
        <v>216</v>
      </c>
      <c r="M12" s="36">
        <f>ROUND(N12/(($E$4-$E$3)*1.161),0)</f>
        <v>63</v>
      </c>
      <c r="N12" s="59">
        <f>ROUND(N$14*0.52,0)</f>
        <v>293</v>
      </c>
      <c r="O12" s="419" t="s">
        <v>971</v>
      </c>
    </row>
    <row r="13" spans="2:15" x14ac:dyDescent="0.25">
      <c r="B13" s="424"/>
      <c r="C13" s="426"/>
      <c r="D13" s="64" t="s">
        <v>1006</v>
      </c>
      <c r="E13" s="69"/>
      <c r="F13" s="70">
        <f>ROUND(F$15*0.5,0)</f>
        <v>108</v>
      </c>
      <c r="G13" s="31"/>
      <c r="H13" s="29">
        <f>ROUND(H$15*0.5,0)</f>
        <v>155</v>
      </c>
      <c r="I13" s="33"/>
      <c r="J13" s="52">
        <f>ROUND(J$15*0.51,0)</f>
        <v>187</v>
      </c>
      <c r="K13" s="35"/>
      <c r="L13" s="56">
        <f>ROUND(L$15*0.51,0)</f>
        <v>216</v>
      </c>
      <c r="M13" s="37"/>
      <c r="N13" s="60">
        <f>ROUND(N$15*0.52,0)</f>
        <v>293</v>
      </c>
      <c r="O13" s="420"/>
    </row>
    <row r="14" spans="2:15" x14ac:dyDescent="0.25">
      <c r="B14" s="423" t="s">
        <v>962</v>
      </c>
      <c r="C14" s="425" t="s">
        <v>964</v>
      </c>
      <c r="D14" s="63" t="s">
        <v>1005</v>
      </c>
      <c r="E14" s="67">
        <f>ROUND(F14/(($E$4-$E$3)*1.161),0)</f>
        <v>46</v>
      </c>
      <c r="F14" s="68">
        <f>VLOOKUP(CONCATENATE(E3,"-",E4,"-",E5),LEISTUNGEN_K,21,0)</f>
        <v>215</v>
      </c>
      <c r="G14" s="30">
        <f>ROUND(H14/(($E$4-$E$3)*1.161),0)</f>
        <v>67</v>
      </c>
      <c r="H14" s="48">
        <f>VLOOKUP(CONCATENATE(E3,"-",E4,"-",E5),LEISTUNGEN_K,20,0)</f>
        <v>309</v>
      </c>
      <c r="I14" s="32">
        <f>ROUND(J14/(($E$4-$E$3)*1.161),0)</f>
        <v>79</v>
      </c>
      <c r="J14" s="51">
        <f>VLOOKUP(CONCATENATE(E3,"-",E4,"-",E5),LEISTUNGEN_K,19,0)</f>
        <v>366</v>
      </c>
      <c r="K14" s="34">
        <f>ROUND(L14/(($E$4-$E$3)*1.161),0)</f>
        <v>91</v>
      </c>
      <c r="L14" s="55">
        <f>VLOOKUP(CONCATENATE(E3,"-",E4,"-",E5),LEISTUNGEN_K,18,0)</f>
        <v>423</v>
      </c>
      <c r="M14" s="36">
        <f>ROUND(N14/(($E$4-$E$3)*1.161),0)</f>
        <v>121</v>
      </c>
      <c r="N14" s="59">
        <f>VLOOKUP(CONCATENATE(E3,"-",E4,"-",E5),LEISTUNGEN_K,16,0)</f>
        <v>564</v>
      </c>
      <c r="O14" s="419" t="s">
        <v>972</v>
      </c>
    </row>
    <row r="15" spans="2:15" x14ac:dyDescent="0.25">
      <c r="B15" s="424"/>
      <c r="C15" s="426"/>
      <c r="D15" s="64" t="s">
        <v>1006</v>
      </c>
      <c r="E15" s="69"/>
      <c r="F15" s="70">
        <f>VLOOKUP(CONCATENATE(E3,"-",E4,"-",E5),LEISTUNGEN_K,28,0)</f>
        <v>215</v>
      </c>
      <c r="G15" s="31"/>
      <c r="H15" s="29">
        <f>VLOOKUP(CONCATENATE(E3,"-",E4,"-",E5),LEISTUNGEN_K,27,0)</f>
        <v>309</v>
      </c>
      <c r="I15" s="33"/>
      <c r="J15" s="52">
        <f>VLOOKUP(CONCATENATE(E3,"-",E4,"-",E5),LEISTUNGEN_K,26,0)</f>
        <v>366</v>
      </c>
      <c r="K15" s="35"/>
      <c r="L15" s="56">
        <f>VLOOKUP(CONCATENATE(E3,"-",E4,"-",E5),LEISTUNGEN_K,25,0)</f>
        <v>423</v>
      </c>
      <c r="M15" s="37"/>
      <c r="N15" s="60">
        <f>VLOOKUP(CONCATENATE(E3,"-",E4,"-",E5),LEISTUNGEN_K,23,0)</f>
        <v>564</v>
      </c>
      <c r="O15" s="420"/>
    </row>
    <row r="16" spans="2:15" x14ac:dyDescent="0.25">
      <c r="B16" s="423" t="s">
        <v>1000</v>
      </c>
      <c r="C16" s="425" t="s">
        <v>1003</v>
      </c>
      <c r="D16" s="63" t="s">
        <v>1005</v>
      </c>
      <c r="E16" s="67">
        <f>ROUND(F16/(($E$4-$E$3)*1.161),0)</f>
        <v>72</v>
      </c>
      <c r="F16" s="68">
        <f>ROUND(F$14*1.55,0)</f>
        <v>333</v>
      </c>
      <c r="G16" s="30">
        <f>ROUND(H16/(($E$4-$E$3)*1.161),0)</f>
        <v>103</v>
      </c>
      <c r="H16" s="48">
        <f>ROUND(H$14*1.55,0)</f>
        <v>479</v>
      </c>
      <c r="I16" s="32">
        <f>ROUND(J16/(($E$4-$E$3)*1.161),0)</f>
        <v>123</v>
      </c>
      <c r="J16" s="51">
        <f>ROUND(J$14*1.56,0)</f>
        <v>571</v>
      </c>
      <c r="K16" s="34">
        <f>ROUND(L16/(($E$4-$E$3)*1.161),0)</f>
        <v>142</v>
      </c>
      <c r="L16" s="55">
        <f>ROUND(L$14*1.56,0)</f>
        <v>660</v>
      </c>
      <c r="M16" s="36">
        <f>ROUND(N16/(($E$4-$E$3)*1.161),0)</f>
        <v>193</v>
      </c>
      <c r="N16" s="59">
        <f>ROUND(N$14*1.59,0)</f>
        <v>897</v>
      </c>
      <c r="O16" s="419" t="s">
        <v>973</v>
      </c>
    </row>
    <row r="17" spans="2:15" x14ac:dyDescent="0.25">
      <c r="B17" s="424"/>
      <c r="C17" s="426"/>
      <c r="D17" s="64" t="s">
        <v>1006</v>
      </c>
      <c r="E17" s="69"/>
      <c r="F17" s="70">
        <f>ROUND(F$15*1.55,0)</f>
        <v>333</v>
      </c>
      <c r="G17" s="31"/>
      <c r="H17" s="29">
        <f>ROUND(H$15*1.55,0)</f>
        <v>479</v>
      </c>
      <c r="I17" s="33"/>
      <c r="J17" s="52">
        <f>ROUND(J$15*1.56,0)</f>
        <v>571</v>
      </c>
      <c r="K17" s="35"/>
      <c r="L17" s="56">
        <f>ROUND(L$15*1.56,0)</f>
        <v>660</v>
      </c>
      <c r="M17" s="37"/>
      <c r="N17" s="60">
        <f>ROUND(N$15*1.59,0)</f>
        <v>897</v>
      </c>
      <c r="O17" s="420"/>
    </row>
    <row r="18" spans="2:15" x14ac:dyDescent="0.25">
      <c r="B18" s="423" t="s">
        <v>963</v>
      </c>
      <c r="C18" s="425" t="s">
        <v>965</v>
      </c>
      <c r="D18" s="63" t="s">
        <v>1005</v>
      </c>
      <c r="E18" s="67">
        <f>ROUND(F18/(($E$4-$E$3)*1.161),0)</f>
        <v>95</v>
      </c>
      <c r="F18" s="68">
        <f>ROUND(F$14*2.06,0)</f>
        <v>443</v>
      </c>
      <c r="G18" s="30">
        <f>ROUND(H18/(($E$4-$E$3)*1.161),0)</f>
        <v>137</v>
      </c>
      <c r="H18" s="48">
        <f>ROUND(H$14*2.06,0)</f>
        <v>637</v>
      </c>
      <c r="I18" s="32">
        <f>ROUND(J18/(($E$4-$E$3)*1.161),0)</f>
        <v>164</v>
      </c>
      <c r="J18" s="51">
        <f>ROUND(J$14*2.08,0)</f>
        <v>761</v>
      </c>
      <c r="K18" s="34">
        <f>ROUND(L18/(($E$4-$E$3)*1.161),0)</f>
        <v>189</v>
      </c>
      <c r="L18" s="55">
        <f>ROUND(L$14*2.08,0)</f>
        <v>880</v>
      </c>
      <c r="M18" s="36">
        <f>ROUND(N18/(($E$4-$E$3)*1.161),0)</f>
        <v>256</v>
      </c>
      <c r="N18" s="59">
        <f>ROUND(N$14*2.11,0)</f>
        <v>1190</v>
      </c>
      <c r="O18" s="419" t="s">
        <v>974</v>
      </c>
    </row>
    <row r="19" spans="2:15" x14ac:dyDescent="0.25">
      <c r="B19" s="424"/>
      <c r="C19" s="426"/>
      <c r="D19" s="64" t="s">
        <v>1006</v>
      </c>
      <c r="E19" s="69"/>
      <c r="F19" s="70">
        <f>ROUND(F$15*2.06,0)</f>
        <v>443</v>
      </c>
      <c r="G19" s="31"/>
      <c r="H19" s="29">
        <f>ROUND(H$15*2.06,0)</f>
        <v>637</v>
      </c>
      <c r="I19" s="33"/>
      <c r="J19" s="52">
        <f>ROUND(J$15*2.08,0)</f>
        <v>761</v>
      </c>
      <c r="K19" s="35"/>
      <c r="L19" s="56">
        <f>ROUND(L$15*2.08,0)</f>
        <v>880</v>
      </c>
      <c r="M19" s="37"/>
      <c r="N19" s="60">
        <f>ROUND(N$15*2.11,0)</f>
        <v>1190</v>
      </c>
      <c r="O19" s="420"/>
    </row>
    <row r="20" spans="2:15" x14ac:dyDescent="0.25">
      <c r="B20" s="423" t="s">
        <v>1001</v>
      </c>
      <c r="C20" s="425" t="s">
        <v>1004</v>
      </c>
      <c r="D20" s="63" t="s">
        <v>1005</v>
      </c>
      <c r="E20" s="67">
        <f>ROUND(F20/(($E$4-$E$3)*1.161),0)</f>
        <v>120</v>
      </c>
      <c r="F20" s="68">
        <f>ROUND(F$14*2.6,0)</f>
        <v>559</v>
      </c>
      <c r="G20" s="30">
        <f>ROUND(H20/(($E$4-$E$3)*1.161),0)</f>
        <v>173</v>
      </c>
      <c r="H20" s="48">
        <f>ROUND(H$14*2.6,0)</f>
        <v>803</v>
      </c>
      <c r="I20" s="32">
        <f>ROUND(J20/(($E$4-$E$3)*1.161),0)</f>
        <v>209</v>
      </c>
      <c r="J20" s="51">
        <f>ROUND(J$14*2.65,0)</f>
        <v>970</v>
      </c>
      <c r="K20" s="34">
        <f>ROUND(L20/(($E$4-$E$3)*1.161),0)</f>
        <v>241</v>
      </c>
      <c r="L20" s="55">
        <f>ROUND(L$14*2.65,0)</f>
        <v>1121</v>
      </c>
      <c r="M20" s="36">
        <f>ROUND(N20/(($E$4-$E$3)*1.161),0)</f>
        <v>328</v>
      </c>
      <c r="N20" s="59">
        <f>ROUND(N$14*2.7,0)</f>
        <v>1523</v>
      </c>
      <c r="O20" s="419" t="s">
        <v>975</v>
      </c>
    </row>
    <row r="21" spans="2:15" x14ac:dyDescent="0.25">
      <c r="B21" s="424"/>
      <c r="C21" s="426"/>
      <c r="D21" s="64" t="s">
        <v>1006</v>
      </c>
      <c r="E21" s="69"/>
      <c r="F21" s="70">
        <f>ROUND(F$15*2.6,0)</f>
        <v>559</v>
      </c>
      <c r="G21" s="31"/>
      <c r="H21" s="29">
        <f>ROUND(H$15*2.6,0)</f>
        <v>803</v>
      </c>
      <c r="I21" s="33"/>
      <c r="J21" s="52">
        <f>ROUND(J$15*2.65,0)</f>
        <v>970</v>
      </c>
      <c r="K21" s="35"/>
      <c r="L21" s="56">
        <f t="shared" ref="L21" si="0">ROUND(L$15*2.65,0)</f>
        <v>1121</v>
      </c>
      <c r="M21" s="37"/>
      <c r="N21" s="60">
        <f>ROUND(N$15*2.7,0)</f>
        <v>1523</v>
      </c>
      <c r="O21" s="420"/>
    </row>
    <row r="22" spans="2:15" x14ac:dyDescent="0.25">
      <c r="B22" s="423" t="s">
        <v>1020</v>
      </c>
      <c r="C22" s="425" t="s">
        <v>966</v>
      </c>
      <c r="D22" s="63" t="s">
        <v>1005</v>
      </c>
      <c r="E22" s="67">
        <f>ROUND(F22/(($E$4-$E$3)*1.161),0)</f>
        <v>144</v>
      </c>
      <c r="F22" s="68">
        <f>ROUND(F$14*3.1,0)</f>
        <v>667</v>
      </c>
      <c r="G22" s="30">
        <f>ROUND(H22/(($E$4-$E$3)*1.161),0)</f>
        <v>206</v>
      </c>
      <c r="H22" s="48">
        <f>ROUND(H$14*3.1,0)</f>
        <v>958</v>
      </c>
      <c r="I22" s="32">
        <f>ROUND(J22/(($E$4-$E$3)*1.161),0)</f>
        <v>247</v>
      </c>
      <c r="J22" s="51">
        <f>ROUND(J$14*3.13,0)</f>
        <v>1146</v>
      </c>
      <c r="K22" s="34">
        <f>ROUND(L22/(($E$4-$E$3)*1.161),0)</f>
        <v>285</v>
      </c>
      <c r="L22" s="55">
        <f>ROUND(L$14*3.13,0)</f>
        <v>1324</v>
      </c>
      <c r="M22" s="36">
        <f>ROUND(N22/(($E$4-$E$3)*1.161),0)</f>
        <v>386</v>
      </c>
      <c r="N22" s="59">
        <f>ROUND(N$14*3.18,0)</f>
        <v>1794</v>
      </c>
      <c r="O22" s="419" t="s">
        <v>976</v>
      </c>
    </row>
    <row r="23" spans="2:15" x14ac:dyDescent="0.25">
      <c r="B23" s="424"/>
      <c r="C23" s="426"/>
      <c r="D23" s="64" t="s">
        <v>1006</v>
      </c>
      <c r="E23" s="69"/>
      <c r="F23" s="70">
        <f>ROUND(F$15*3.1,0)</f>
        <v>667</v>
      </c>
      <c r="G23" s="31"/>
      <c r="H23" s="29">
        <f>ROUND(H$15*3.1,0)</f>
        <v>958</v>
      </c>
      <c r="I23" s="33"/>
      <c r="J23" s="52">
        <f>ROUND(J$15*3.13,0)</f>
        <v>1146</v>
      </c>
      <c r="K23" s="35"/>
      <c r="L23" s="56">
        <f t="shared" ref="L23" si="1">ROUND(L$15*3.13,0)</f>
        <v>1324</v>
      </c>
      <c r="M23" s="37"/>
      <c r="N23" s="60">
        <f>ROUND(N$15*3.18,0)</f>
        <v>1794</v>
      </c>
      <c r="O23" s="420"/>
    </row>
    <row r="24" spans="2:15" s="74" customFormat="1" ht="12" x14ac:dyDescent="0.2">
      <c r="O24" s="94" t="str">
        <f>VLOOKUP(23,TXT_K,$G$3,0)</f>
        <v>Leistung nach DIN EN 16430</v>
      </c>
    </row>
    <row r="25" spans="2:15" x14ac:dyDescent="0.25"/>
    <row r="26" spans="2:15" ht="21" x14ac:dyDescent="0.35">
      <c r="B26" s="15" t="str">
        <f>VLOOKUP(22,TXT_K,$G$3,0)</f>
        <v>Heizmedium  (PWW)</v>
      </c>
      <c r="C26" s="15"/>
      <c r="D26" s="15"/>
      <c r="E26" s="15"/>
      <c r="F26" s="16" t="str">
        <f>CONCATENATE(C3,"°C"," / ",C4,"°C")</f>
        <v>50°C / 40°C</v>
      </c>
      <c r="G26" s="16"/>
      <c r="H26" s="16"/>
      <c r="I26" s="16"/>
      <c r="J26" s="15"/>
      <c r="K26" s="15"/>
      <c r="L26" s="15"/>
      <c r="M26" s="17" t="str">
        <f>VLOOKUP(8,TXT_K,$G$3,0)</f>
        <v>Raumtemperatur</v>
      </c>
      <c r="N26" s="17"/>
      <c r="O26" s="18" t="str">
        <f>CONCATENATE("+",C5,"°C")</f>
        <v>+20°C</v>
      </c>
    </row>
    <row r="27" spans="2:15" s="74" customFormat="1" ht="12" x14ac:dyDescent="0.2"/>
    <row r="28" spans="2:15" s="74" customFormat="1" ht="12" x14ac:dyDescent="0.2">
      <c r="B28" s="74" t="str">
        <f>VLOOKUP(2,TXT_K,$G$3,0)</f>
        <v>Modell</v>
      </c>
      <c r="F28" s="422" t="str">
        <f>VLOOKUP(7,TXT_K,$G$3,0)</f>
        <v>Leistungsprozent</v>
      </c>
      <c r="G28" s="422"/>
      <c r="H28" s="422"/>
      <c r="I28" s="422"/>
      <c r="J28" s="422"/>
      <c r="K28" s="422"/>
      <c r="L28" s="422"/>
      <c r="M28" s="422"/>
      <c r="N28" s="422"/>
    </row>
    <row r="29" spans="2:15" ht="21" x14ac:dyDescent="0.35">
      <c r="B29" s="7" t="s">
        <v>998</v>
      </c>
      <c r="E29" s="77"/>
      <c r="F29" s="78">
        <v>0.3</v>
      </c>
      <c r="G29" s="11"/>
      <c r="H29" s="11">
        <v>0.4</v>
      </c>
      <c r="I29" s="8"/>
      <c r="J29" s="8">
        <v>0.5</v>
      </c>
      <c r="K29" s="9"/>
      <c r="L29" s="9">
        <v>0.6</v>
      </c>
      <c r="M29" s="10"/>
      <c r="N29" s="10">
        <v>1</v>
      </c>
      <c r="O29" s="6"/>
    </row>
    <row r="30" spans="2:15" s="74" customFormat="1" ht="28.5" customHeight="1" x14ac:dyDescent="0.2">
      <c r="B30" s="85" t="str">
        <f>VLOOKUP(3,TXT_K,$G$3,0)</f>
        <v>Wanne  Bk [mm]</v>
      </c>
      <c r="C30" s="85" t="str">
        <f>VLOOKUP(4,TXT_K,$G$3,0)</f>
        <v>Element He [mm]</v>
      </c>
      <c r="E30" s="421" t="str">
        <f>VLOOKUP(21,TXT_K,$G$3,0)</f>
        <v>Heizleistung [W]</v>
      </c>
      <c r="F30" s="421"/>
      <c r="G30" s="421"/>
      <c r="H30" s="421"/>
      <c r="I30" s="421"/>
      <c r="J30" s="421"/>
      <c r="K30" s="421"/>
      <c r="L30" s="421"/>
      <c r="M30" s="421"/>
      <c r="N30" s="421"/>
      <c r="O30" s="66" t="s">
        <v>970</v>
      </c>
    </row>
    <row r="31" spans="2:15" x14ac:dyDescent="0.25">
      <c r="B31" s="12" t="s">
        <v>999</v>
      </c>
      <c r="C31" s="46" t="s">
        <v>1002</v>
      </c>
      <c r="D31" s="63" t="s">
        <v>1005</v>
      </c>
      <c r="E31" s="79">
        <f t="shared" ref="E31:G36" si="2">ROUND(F31/(($C$3-$C$4)*1.161),0)</f>
        <v>24</v>
      </c>
      <c r="F31" s="80">
        <f>ROUND(F32*0.5,0)</f>
        <v>284</v>
      </c>
      <c r="G31" s="38">
        <f t="shared" si="2"/>
        <v>31</v>
      </c>
      <c r="H31" s="49">
        <f>ROUND(H32*0.5,0)</f>
        <v>359</v>
      </c>
      <c r="I31" s="40">
        <f t="shared" ref="I31:I36" si="3">ROUND(J31/(($C$3-$C$4)*1.161),0)</f>
        <v>34</v>
      </c>
      <c r="J31" s="53">
        <f>ROUND(J32*0.5,0)</f>
        <v>399</v>
      </c>
      <c r="K31" s="42">
        <f t="shared" ref="K31:K36" si="4">ROUND(L31/(($C$3-$C$4)*1.161),0)</f>
        <v>38</v>
      </c>
      <c r="L31" s="57">
        <f t="shared" ref="L31:N31" si="5">ROUND(L32*0.5,0)</f>
        <v>439</v>
      </c>
      <c r="M31" s="44">
        <f t="shared" ref="M31:M36" si="6">ROUND(N31/(($C$3-$C$4)*1.161),0)</f>
        <v>45</v>
      </c>
      <c r="N31" s="61">
        <f t="shared" si="5"/>
        <v>524</v>
      </c>
      <c r="O31" s="23" t="s">
        <v>971</v>
      </c>
    </row>
    <row r="32" spans="2:15" x14ac:dyDescent="0.25">
      <c r="B32" s="12" t="s">
        <v>962</v>
      </c>
      <c r="C32" s="46" t="s">
        <v>964</v>
      </c>
      <c r="D32" s="63" t="s">
        <v>1005</v>
      </c>
      <c r="E32" s="79">
        <f t="shared" si="2"/>
        <v>49</v>
      </c>
      <c r="F32" s="80">
        <f>ROUND(SUM('BASE-HEIZ'!G7)*VLOOKUP(((C3+C4)/2)-C5,FAKTOR_K,2,0),0)</f>
        <v>567</v>
      </c>
      <c r="G32" s="38">
        <f t="shared" si="2"/>
        <v>62</v>
      </c>
      <c r="H32" s="49">
        <f>ROUND(SUM('BASE-HEIZ'!F7)*VLOOKUP(((C3+C4)/2)-C5,FAKTOR_K,2,0),0)</f>
        <v>718</v>
      </c>
      <c r="I32" s="40">
        <f t="shared" si="3"/>
        <v>69</v>
      </c>
      <c r="J32" s="53">
        <f>ROUND(SUM('BASE-HEIZ'!E7)*VLOOKUP(((C3+C4)/2)-C5,FAKTOR_K,2,0),0)</f>
        <v>798</v>
      </c>
      <c r="K32" s="42">
        <f t="shared" si="4"/>
        <v>76</v>
      </c>
      <c r="L32" s="57">
        <f>ROUND(SUM('BASE-HEIZ'!D7)*VLOOKUP(((C3+C4)/2)-C5,FAKTOR_K,2,0),0)</f>
        <v>878</v>
      </c>
      <c r="M32" s="44">
        <f t="shared" si="6"/>
        <v>90</v>
      </c>
      <c r="N32" s="61">
        <f>ROUND(SUM('BASE-HEIZ'!B7)*VLOOKUP(((C3+C4)/2)-C5,FAKTOR_K,2,0),0)</f>
        <v>1047</v>
      </c>
      <c r="O32" s="24" t="s">
        <v>972</v>
      </c>
    </row>
    <row r="33" spans="2:15" x14ac:dyDescent="0.25">
      <c r="B33" s="12" t="s">
        <v>1000</v>
      </c>
      <c r="C33" s="46" t="s">
        <v>1003</v>
      </c>
      <c r="D33" s="63" t="s">
        <v>1005</v>
      </c>
      <c r="E33" s="79">
        <f t="shared" si="2"/>
        <v>73</v>
      </c>
      <c r="F33" s="80">
        <f>ROUND(F32*1.5,0)</f>
        <v>851</v>
      </c>
      <c r="G33" s="38">
        <f t="shared" si="2"/>
        <v>93</v>
      </c>
      <c r="H33" s="49">
        <f>ROUND(H32*1.5,0)</f>
        <v>1077</v>
      </c>
      <c r="I33" s="40">
        <f t="shared" si="3"/>
        <v>103</v>
      </c>
      <c r="J33" s="53">
        <f t="shared" ref="J33:N33" si="7">ROUND(J32*1.5,0)</f>
        <v>1197</v>
      </c>
      <c r="K33" s="42">
        <f t="shared" si="4"/>
        <v>113</v>
      </c>
      <c r="L33" s="57">
        <f t="shared" si="7"/>
        <v>1317</v>
      </c>
      <c r="M33" s="44">
        <f t="shared" si="6"/>
        <v>135</v>
      </c>
      <c r="N33" s="61">
        <f t="shared" si="7"/>
        <v>1571</v>
      </c>
      <c r="O33" s="23" t="s">
        <v>973</v>
      </c>
    </row>
    <row r="34" spans="2:15" x14ac:dyDescent="0.25">
      <c r="B34" s="12" t="s">
        <v>963</v>
      </c>
      <c r="C34" s="46" t="s">
        <v>965</v>
      </c>
      <c r="D34" s="63" t="s">
        <v>1005</v>
      </c>
      <c r="E34" s="79">
        <f t="shared" si="2"/>
        <v>98</v>
      </c>
      <c r="F34" s="80">
        <f>ROUND(F32*2,0)</f>
        <v>1134</v>
      </c>
      <c r="G34" s="38">
        <f t="shared" si="2"/>
        <v>124</v>
      </c>
      <c r="H34" s="49">
        <f>ROUND(H32*2,0)</f>
        <v>1436</v>
      </c>
      <c r="I34" s="40">
        <f t="shared" si="3"/>
        <v>137</v>
      </c>
      <c r="J34" s="53">
        <f t="shared" ref="J34:N34" si="8">ROUND(J32*2,0)</f>
        <v>1596</v>
      </c>
      <c r="K34" s="42">
        <f t="shared" si="4"/>
        <v>151</v>
      </c>
      <c r="L34" s="57">
        <f t="shared" si="8"/>
        <v>1756</v>
      </c>
      <c r="M34" s="44">
        <f t="shared" si="6"/>
        <v>180</v>
      </c>
      <c r="N34" s="61">
        <f t="shared" si="8"/>
        <v>2094</v>
      </c>
      <c r="O34" s="23" t="s">
        <v>974</v>
      </c>
    </row>
    <row r="35" spans="2:15" x14ac:dyDescent="0.25">
      <c r="B35" s="12" t="s">
        <v>1001</v>
      </c>
      <c r="C35" s="46" t="s">
        <v>1004</v>
      </c>
      <c r="D35" s="63" t="s">
        <v>1005</v>
      </c>
      <c r="E35" s="79">
        <f t="shared" si="2"/>
        <v>122</v>
      </c>
      <c r="F35" s="80">
        <f>ROUND(F32*2.5,0)</f>
        <v>1418</v>
      </c>
      <c r="G35" s="38">
        <f t="shared" si="2"/>
        <v>155</v>
      </c>
      <c r="H35" s="49">
        <f>ROUND(H32*2.5,0)</f>
        <v>1795</v>
      </c>
      <c r="I35" s="40">
        <f t="shared" si="3"/>
        <v>172</v>
      </c>
      <c r="J35" s="53">
        <f t="shared" ref="J35:N35" si="9">ROUND(J32*2.5,0)</f>
        <v>1995</v>
      </c>
      <c r="K35" s="42">
        <f t="shared" si="4"/>
        <v>189</v>
      </c>
      <c r="L35" s="57">
        <f t="shared" si="9"/>
        <v>2195</v>
      </c>
      <c r="M35" s="44">
        <f t="shared" si="6"/>
        <v>225</v>
      </c>
      <c r="N35" s="61">
        <f t="shared" si="9"/>
        <v>2618</v>
      </c>
      <c r="O35" s="23" t="s">
        <v>975</v>
      </c>
    </row>
    <row r="36" spans="2:15" x14ac:dyDescent="0.25">
      <c r="B36" s="13" t="s">
        <v>1020</v>
      </c>
      <c r="C36" s="47" t="s">
        <v>966</v>
      </c>
      <c r="D36" s="65" t="s">
        <v>1005</v>
      </c>
      <c r="E36" s="81">
        <f t="shared" si="2"/>
        <v>147</v>
      </c>
      <c r="F36" s="82">
        <f>ROUND(F32*3,0)</f>
        <v>1701</v>
      </c>
      <c r="G36" s="39">
        <f t="shared" si="2"/>
        <v>186</v>
      </c>
      <c r="H36" s="50">
        <f>ROUND(H32*3,0)</f>
        <v>2154</v>
      </c>
      <c r="I36" s="41">
        <f t="shared" si="3"/>
        <v>206</v>
      </c>
      <c r="J36" s="54">
        <f t="shared" ref="J36:N36" si="10">ROUND(J32*3,0)</f>
        <v>2394</v>
      </c>
      <c r="K36" s="43">
        <f t="shared" si="4"/>
        <v>227</v>
      </c>
      <c r="L36" s="58">
        <f t="shared" si="10"/>
        <v>2634</v>
      </c>
      <c r="M36" s="45">
        <f t="shared" si="6"/>
        <v>271</v>
      </c>
      <c r="N36" s="62">
        <f t="shared" si="10"/>
        <v>3141</v>
      </c>
      <c r="O36" s="25" t="s">
        <v>976</v>
      </c>
    </row>
    <row r="37" spans="2:15" s="74" customFormat="1" ht="12" x14ac:dyDescent="0.2">
      <c r="B37" s="90"/>
      <c r="C37" s="91"/>
      <c r="E37" s="92"/>
      <c r="F37" s="93"/>
      <c r="G37" s="93"/>
      <c r="H37" s="93"/>
      <c r="I37" s="92"/>
      <c r="J37" s="93"/>
      <c r="K37" s="92"/>
      <c r="L37" s="93"/>
      <c r="M37" s="92"/>
      <c r="N37" s="93"/>
      <c r="O37" s="94" t="str">
        <f>VLOOKUP(23,TXT_K,$G$3,0)</f>
        <v>Leistung nach DIN EN 16430</v>
      </c>
    </row>
    <row r="38" spans="2:15" s="74" customFormat="1" ht="12" x14ac:dyDescent="0.2">
      <c r="B38" s="76" t="str">
        <f>VLOOKUP(41,TXT_K,$G$3,0)</f>
        <v>Leistungsdaten mit Abdeckung, Rollrost Typ 941-17-B (f.Q. 70%)</v>
      </c>
      <c r="C38" s="91"/>
      <c r="E38" s="92"/>
      <c r="F38" s="93"/>
      <c r="G38" s="93"/>
      <c r="H38" s="93"/>
      <c r="I38" s="92"/>
      <c r="J38" s="93"/>
      <c r="K38" s="92"/>
      <c r="L38" s="93"/>
      <c r="M38" s="92"/>
      <c r="N38" s="93"/>
      <c r="O38" s="94"/>
    </row>
    <row r="39" spans="2:15" s="74" customFormat="1" ht="12" x14ac:dyDescent="0.2">
      <c r="B39" s="76" t="str">
        <f>VLOOKUP(42,TXT_K,$G$3,0)</f>
        <v>Bei abweichenden Abdeckungen, ist mit einer Leistungsminderung zu rechnen</v>
      </c>
      <c r="C39" s="91"/>
      <c r="E39" s="92"/>
      <c r="F39" s="93"/>
      <c r="G39" s="93"/>
      <c r="H39" s="93"/>
      <c r="I39" s="92"/>
      <c r="J39" s="93"/>
      <c r="K39" s="92"/>
      <c r="L39" s="93"/>
      <c r="M39" s="92"/>
      <c r="N39" s="93"/>
      <c r="O39" s="94"/>
    </row>
    <row r="40" spans="2:15" s="74" customFormat="1" ht="12" x14ac:dyDescent="0.2">
      <c r="B40" s="76" t="str">
        <f>VLOOKUP(28,TXT_K,$G$3,0)</f>
        <v>Minimale Wassermassenströme von ca. 20 kg/h sollen eingehalten werden</v>
      </c>
    </row>
    <row r="41" spans="2:15" ht="9.75" customHeight="1" x14ac:dyDescent="0.25"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2:15" x14ac:dyDescent="0.25">
      <c r="B42" s="75" t="str">
        <f>VLOOKUP(37,TXT_K,$G$3,0)</f>
        <v>N4: Nasse Kühlung - 4-Leiter-System mit Ablaufwanne und Ablaufstutzen für Kondensat</v>
      </c>
      <c r="C42" s="6"/>
      <c r="D42" s="6"/>
      <c r="E42" s="6"/>
      <c r="F42" s="6"/>
      <c r="G42" s="6"/>
      <c r="H42" s="6"/>
      <c r="I42" s="6"/>
      <c r="J42" s="6"/>
      <c r="K42" s="6"/>
      <c r="M42" s="6"/>
      <c r="N42" s="6"/>
      <c r="O42" s="6"/>
    </row>
    <row r="43" spans="2:15" x14ac:dyDescent="0.25">
      <c r="B43" s="76" t="str">
        <f>VLOOKUP(5,TXT_K,$G$3,0)</f>
        <v>Qt [W]: Kühlleistung gesamt</v>
      </c>
      <c r="C43" s="6"/>
      <c r="D43" s="6"/>
      <c r="E43" s="6"/>
      <c r="F43" s="6"/>
      <c r="G43" s="6"/>
      <c r="H43" s="6"/>
      <c r="I43" s="6"/>
      <c r="M43" s="6"/>
      <c r="N43" s="6"/>
      <c r="O43" s="94" t="str">
        <f>VLOOKUP(26,TXT_K,$G$3,0)</f>
        <v>Querstromventilator Typ EC65  24VDC</v>
      </c>
    </row>
    <row r="44" spans="2:15" x14ac:dyDescent="0.25">
      <c r="B44" s="76" t="str">
        <f>VLOOKUP(6,TXT_K,$G$3,0)</f>
        <v>Qs [W]: Kühlleistung sensibel</v>
      </c>
      <c r="C44" s="6"/>
      <c r="D44" s="6"/>
      <c r="E44" s="6"/>
      <c r="F44" s="6"/>
      <c r="G44" s="6"/>
      <c r="H44" s="6"/>
      <c r="I44" s="6"/>
      <c r="J44" s="6"/>
      <c r="K44" s="6"/>
      <c r="M44" s="6"/>
      <c r="N44" s="6"/>
      <c r="O44" s="98" t="str">
        <f>VLOOKUP(10,TXT_K,$G$3,0)</f>
        <v>M: Anzahl Motoren</v>
      </c>
    </row>
    <row r="45" spans="2:15" x14ac:dyDescent="0.25">
      <c r="B45" s="74" t="str">
        <f>VLOOKUP(38,TXT_K,$G$3,0)</f>
        <v>X: Erweiterung des Bodenkanals um ein Regulierungsmodul zu integrieren</v>
      </c>
      <c r="C45" s="6"/>
      <c r="D45" s="6"/>
      <c r="E45" s="6"/>
      <c r="F45" s="6"/>
      <c r="G45" s="6"/>
      <c r="H45" s="6"/>
      <c r="I45" s="6"/>
      <c r="J45" s="6"/>
      <c r="K45" s="6"/>
      <c r="M45" s="6"/>
      <c r="N45" s="6"/>
      <c r="O45" s="98" t="str">
        <f>VLOOKUP(14,TXT_K,$G$3,0)</f>
        <v>QVw: Anzahl Ventilatoren-Walzen</v>
      </c>
    </row>
    <row r="46" spans="2:15" x14ac:dyDescent="0.25">
      <c r="B46" s="74" t="str">
        <f>VLOOKUP(33,TXT_K,$G$3,0)</f>
        <v>Die Zwischenlängen werden durch Leerstücke angepasst.</v>
      </c>
      <c r="C46" s="6"/>
      <c r="D46" s="6"/>
      <c r="E46" s="6"/>
      <c r="F46" s="6"/>
      <c r="G46" s="6"/>
      <c r="H46" s="6"/>
      <c r="I46" s="6"/>
      <c r="J46" s="6"/>
      <c r="K46" s="6"/>
      <c r="M46" s="6"/>
      <c r="N46" s="6"/>
      <c r="O46" s="98" t="str">
        <f>VLOOKUP(15,TXT_K,$G$3,0)</f>
        <v>ṁ: Wassermassenstrom [kg/h]</v>
      </c>
    </row>
    <row r="47" spans="2:15" x14ac:dyDescent="0.25">
      <c r="B47" s="74" t="str">
        <f>VLOOKUP(29,TXT_K,$G$3,0)</f>
        <v>Bei Veränderungen der Standardteile können Abweichungen entstehen</v>
      </c>
    </row>
    <row r="48" spans="2:15" x14ac:dyDescent="0.25"/>
    <row r="49" spans="15:15" x14ac:dyDescent="0.25"/>
    <row r="50" spans="15:15" x14ac:dyDescent="0.25"/>
    <row r="51" spans="15:15" x14ac:dyDescent="0.25"/>
    <row r="52" spans="15:15" x14ac:dyDescent="0.25"/>
    <row r="53" spans="15:15" x14ac:dyDescent="0.25"/>
    <row r="54" spans="15:15" x14ac:dyDescent="0.25">
      <c r="O54" s="73" t="s">
        <v>1050</v>
      </c>
    </row>
    <row r="55" spans="15:15" x14ac:dyDescent="0.25"/>
  </sheetData>
  <sheetProtection algorithmName="SHA-512" hashValue="3IwjKrHAQCV1vqy8zoxQlDLnaTDOZFTyP+4+I/x383vb3fyEVdThm4RhCm+Hpb9mH8SDI1QCEAr8+/oje7yZng==" saltValue="RH0H6soCORWzQso5kj8P0Q==" spinCount="100000" sheet="1" objects="1" scenarios="1" selectLockedCells="1"/>
  <protectedRanges>
    <protectedRange sqref="C3:H5" name="Bereich1"/>
  </protectedRanges>
  <mergeCells count="32">
    <mergeCell ref="G2:H2"/>
    <mergeCell ref="G3:H5"/>
    <mergeCell ref="E2:F2"/>
    <mergeCell ref="E3:F3"/>
    <mergeCell ref="E4:F4"/>
    <mergeCell ref="E5:F5"/>
    <mergeCell ref="C2:D2"/>
    <mergeCell ref="C3:D3"/>
    <mergeCell ref="C4:D4"/>
    <mergeCell ref="C5:D5"/>
    <mergeCell ref="B14:B15"/>
    <mergeCell ref="C14:C15"/>
    <mergeCell ref="O14:O15"/>
    <mergeCell ref="F9:N9"/>
    <mergeCell ref="E11:N11"/>
    <mergeCell ref="B12:B13"/>
    <mergeCell ref="C12:C13"/>
    <mergeCell ref="O12:O13"/>
    <mergeCell ref="B16:B17"/>
    <mergeCell ref="C16:C17"/>
    <mergeCell ref="O16:O17"/>
    <mergeCell ref="B18:B19"/>
    <mergeCell ref="C18:C19"/>
    <mergeCell ref="O18:O19"/>
    <mergeCell ref="F28:N28"/>
    <mergeCell ref="E30:N30"/>
    <mergeCell ref="B20:B21"/>
    <mergeCell ref="C20:C21"/>
    <mergeCell ref="O20:O21"/>
    <mergeCell ref="B22:B23"/>
    <mergeCell ref="C22:C23"/>
    <mergeCell ref="O22:O23"/>
  </mergeCells>
  <conditionalFormatting sqref="C3:D5">
    <cfRule type="expression" dxfId="231" priority="2">
      <formula>$J$3&lt;&gt;""</formula>
    </cfRule>
  </conditionalFormatting>
  <conditionalFormatting sqref="E3:F5">
    <cfRule type="expression" dxfId="230" priority="1">
      <formula>$J$4&lt;&gt;""</formula>
    </cfRule>
  </conditionalFormatting>
  <dataValidations count="7">
    <dataValidation type="whole" allowBlank="1" showInputMessage="1" showErrorMessage="1" sqref="C3:D3" xr:uid="{E8032EB2-2DCC-4DB5-B9D3-6CAC0B64CD1B}">
      <formula1>30</formula1>
      <formula2>90</formula2>
    </dataValidation>
    <dataValidation type="whole" allowBlank="1" showInputMessage="1" showErrorMessage="1" sqref="C4:D4" xr:uid="{F73C8340-A91A-4046-B69B-FF2D19EDBB7D}">
      <formula1>25</formula1>
      <formula2>85</formula2>
    </dataValidation>
    <dataValidation type="whole" allowBlank="1" showInputMessage="1" showErrorMessage="1" sqref="C5:D5" xr:uid="{89AA802A-57B7-410F-9977-D3B3A2078D70}">
      <formula1>15</formula1>
      <formula2>29</formula2>
    </dataValidation>
    <dataValidation type="whole" allowBlank="1" showInputMessage="1" showErrorMessage="1" sqref="E3:F3" xr:uid="{BBD8662C-7B0D-4709-8A15-231A7D91AC5C}">
      <formula1>4</formula1>
      <formula2>20</formula2>
    </dataValidation>
    <dataValidation type="whole" allowBlank="1" showInputMessage="1" showErrorMessage="1" sqref="E4:F4" xr:uid="{2B040BE9-4672-400C-BA88-FDAD00E15A00}">
      <formula1>6</formula1>
      <formula2>24</formula2>
    </dataValidation>
    <dataValidation type="whole" allowBlank="1" showInputMessage="1" showErrorMessage="1" sqref="E5:F5" xr:uid="{456302CE-3F05-43D1-BF44-39F8BCBEDACA}">
      <formula1>20</formula1>
      <formula2>30</formula2>
    </dataValidation>
    <dataValidation type="whole" allowBlank="1" showInputMessage="1" showErrorMessage="1" sqref="G3:H5" xr:uid="{A1D3F867-81F7-483E-B087-7B328B436DC2}">
      <formula1>2</formula1>
      <formula2>3</formula2>
    </dataValidation>
  </dataValidations>
  <pageMargins left="0.51181102362204722" right="0.31496062992125984" top="0.94488188976377963" bottom="0.55118110236220474" header="0.31496062992125984" footer="0.11811023622047245"/>
  <pageSetup paperSize="9" orientation="portrait" r:id="rId1"/>
  <headerFooter>
    <oddHeader>&amp;C&amp;G</oddHeader>
    <oddFooter>&amp;C&amp;G</oddFooter>
  </headerFooter>
  <ignoredErrors>
    <ignoredError sqref="F12:L21 F31:L36 F23:L23 F22:H22 I22:L22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" id="{1396A718-3CBB-41D1-9A89-EE723BF9E74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E12</xm:sqref>
        </x14:conditionalFormatting>
        <x14:conditionalFormatting xmlns:xm="http://schemas.microsoft.com/office/excel/2006/main">
          <x14:cfRule type="iconSet" priority="64" id="{14A5BEA9-6778-4D51-BFF0-D05F08B6F04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E14</xm:sqref>
        </x14:conditionalFormatting>
        <x14:conditionalFormatting xmlns:xm="http://schemas.microsoft.com/office/excel/2006/main">
          <x14:cfRule type="iconSet" priority="63" id="{BA6F48F0-C053-4133-9C59-FCF61EA83F8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E16</xm:sqref>
        </x14:conditionalFormatting>
        <x14:conditionalFormatting xmlns:xm="http://schemas.microsoft.com/office/excel/2006/main">
          <x14:cfRule type="iconSet" priority="62" id="{9BC3B214-913D-4FC3-9C94-F7A109C8268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</xm:sqref>
        </x14:conditionalFormatting>
        <x14:conditionalFormatting xmlns:xm="http://schemas.microsoft.com/office/excel/2006/main">
          <x14:cfRule type="iconSet" priority="61" id="{CB6C3E41-6119-4DE3-B04B-8E3DCFD4CAA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</xm:sqref>
        </x14:conditionalFormatting>
        <x14:conditionalFormatting xmlns:xm="http://schemas.microsoft.com/office/excel/2006/main">
          <x14:cfRule type="iconSet" priority="60" id="{A0ED9F41-222E-4383-8D4B-3F71D91F593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</xm:sqref>
        </x14:conditionalFormatting>
        <x14:conditionalFormatting xmlns:xm="http://schemas.microsoft.com/office/excel/2006/main">
          <x14:cfRule type="iconSet" priority="41" id="{8F784849-36D6-4A8D-BC94-F8C304C5818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E31</xm:sqref>
        </x14:conditionalFormatting>
        <x14:conditionalFormatting xmlns:xm="http://schemas.microsoft.com/office/excel/2006/main">
          <x14:cfRule type="iconSet" priority="40" id="{74790848-8596-4A13-AD9F-A99643673A9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</xm:sqref>
        </x14:conditionalFormatting>
        <x14:conditionalFormatting xmlns:xm="http://schemas.microsoft.com/office/excel/2006/main">
          <x14:cfRule type="iconSet" priority="39" id="{F0014520-53A0-440E-B4DE-1952E529F93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E33</xm:sqref>
        </x14:conditionalFormatting>
        <x14:conditionalFormatting xmlns:xm="http://schemas.microsoft.com/office/excel/2006/main">
          <x14:cfRule type="iconSet" priority="38" id="{498492EB-06A0-45A0-952E-095BD3F2BDA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</xm:sqref>
        </x14:conditionalFormatting>
        <x14:conditionalFormatting xmlns:xm="http://schemas.microsoft.com/office/excel/2006/main">
          <x14:cfRule type="iconSet" priority="37" id="{F10B8DC0-B889-47FE-A79B-8A713182D0D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E35</xm:sqref>
        </x14:conditionalFormatting>
        <x14:conditionalFormatting xmlns:xm="http://schemas.microsoft.com/office/excel/2006/main">
          <x14:cfRule type="iconSet" priority="36" id="{3F799CF0-33B0-4708-91F6-049921B476A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E36:E39</xm:sqref>
        </x14:conditionalFormatting>
        <x14:conditionalFormatting xmlns:xm="http://schemas.microsoft.com/office/excel/2006/main">
          <x14:cfRule type="iconSet" priority="14" id="{07FE9E1C-4F2A-4FE6-BBAD-86D458E0C1E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G12</xm:sqref>
        </x14:conditionalFormatting>
        <x14:conditionalFormatting xmlns:xm="http://schemas.microsoft.com/office/excel/2006/main">
          <x14:cfRule type="iconSet" priority="13" id="{10D41C66-40C8-46E4-9791-F0740257D72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G14</xm:sqref>
        </x14:conditionalFormatting>
        <x14:conditionalFormatting xmlns:xm="http://schemas.microsoft.com/office/excel/2006/main">
          <x14:cfRule type="iconSet" priority="12" id="{739B0248-5E1E-4A91-B652-2D6A1E6712C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G16</xm:sqref>
        </x14:conditionalFormatting>
        <x14:conditionalFormatting xmlns:xm="http://schemas.microsoft.com/office/excel/2006/main">
          <x14:cfRule type="iconSet" priority="11" id="{37BAE104-F941-4B3C-9AE4-916E8802F09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G18</xm:sqref>
        </x14:conditionalFormatting>
        <x14:conditionalFormatting xmlns:xm="http://schemas.microsoft.com/office/excel/2006/main">
          <x14:cfRule type="iconSet" priority="10" id="{6A4A27FD-DE4D-4BD9-BAEE-496058098EF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G20</xm:sqref>
        </x14:conditionalFormatting>
        <x14:conditionalFormatting xmlns:xm="http://schemas.microsoft.com/office/excel/2006/main">
          <x14:cfRule type="iconSet" priority="9" id="{A81151E7-23FC-4411-8795-19FF77FCB7A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G22</xm:sqref>
        </x14:conditionalFormatting>
        <x14:conditionalFormatting xmlns:xm="http://schemas.microsoft.com/office/excel/2006/main">
          <x14:cfRule type="iconSet" priority="8" id="{571D772E-7CB0-423F-9112-3552D55881A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G31</xm:sqref>
        </x14:conditionalFormatting>
        <x14:conditionalFormatting xmlns:xm="http://schemas.microsoft.com/office/excel/2006/main">
          <x14:cfRule type="iconSet" priority="7" id="{4B2904F4-2225-4270-8913-9C720CCAF0A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G32</xm:sqref>
        </x14:conditionalFormatting>
        <x14:conditionalFormatting xmlns:xm="http://schemas.microsoft.com/office/excel/2006/main">
          <x14:cfRule type="iconSet" priority="6" id="{37AA59A3-F2A9-4981-99A4-78B5A65D143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G33</xm:sqref>
        </x14:conditionalFormatting>
        <x14:conditionalFormatting xmlns:xm="http://schemas.microsoft.com/office/excel/2006/main">
          <x14:cfRule type="iconSet" priority="5" id="{604FFED5-5488-4BA3-9583-8ED947DEAD9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G34</xm:sqref>
        </x14:conditionalFormatting>
        <x14:conditionalFormatting xmlns:xm="http://schemas.microsoft.com/office/excel/2006/main">
          <x14:cfRule type="iconSet" priority="4" id="{C57FAF6C-2C4D-456F-91FF-D63E90055F3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G35</xm:sqref>
        </x14:conditionalFormatting>
        <x14:conditionalFormatting xmlns:xm="http://schemas.microsoft.com/office/excel/2006/main">
          <x14:cfRule type="iconSet" priority="3" id="{C5319E49-FD8B-46C1-A9F3-E1101820152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G36</xm:sqref>
        </x14:conditionalFormatting>
        <x14:conditionalFormatting xmlns:xm="http://schemas.microsoft.com/office/excel/2006/main">
          <x14:cfRule type="iconSet" priority="59" id="{BFF2172B-FF03-43E9-AD37-D7928426618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I12</xm:sqref>
        </x14:conditionalFormatting>
        <x14:conditionalFormatting xmlns:xm="http://schemas.microsoft.com/office/excel/2006/main">
          <x14:cfRule type="iconSet" priority="58" id="{B904EDEF-D4B9-4750-85A4-CD43FB357D4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I14</xm:sqref>
        </x14:conditionalFormatting>
        <x14:conditionalFormatting xmlns:xm="http://schemas.microsoft.com/office/excel/2006/main">
          <x14:cfRule type="iconSet" priority="57" id="{4CFBA9EE-BD3A-444A-B5D3-D2471987DC7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56" id="{00DB1424-5C2B-47BA-86FD-2541A33A838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I18</xm:sqref>
        </x14:conditionalFormatting>
        <x14:conditionalFormatting xmlns:xm="http://schemas.microsoft.com/office/excel/2006/main">
          <x14:cfRule type="iconSet" priority="55" id="{6AA9FA3D-303E-44FD-A121-39292DE4474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I20</xm:sqref>
        </x14:conditionalFormatting>
        <x14:conditionalFormatting xmlns:xm="http://schemas.microsoft.com/office/excel/2006/main">
          <x14:cfRule type="iconSet" priority="54" id="{E93EF999-0517-4210-98A9-1C20607A7BA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I22</xm:sqref>
        </x14:conditionalFormatting>
        <x14:conditionalFormatting xmlns:xm="http://schemas.microsoft.com/office/excel/2006/main">
          <x14:cfRule type="iconSet" priority="35" id="{940CA67A-0990-465D-AC11-BBA2B69546A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I31</xm:sqref>
        </x14:conditionalFormatting>
        <x14:conditionalFormatting xmlns:xm="http://schemas.microsoft.com/office/excel/2006/main">
          <x14:cfRule type="iconSet" priority="34" id="{D1273798-B847-4902-B7EA-10522BD67C3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I32</xm:sqref>
        </x14:conditionalFormatting>
        <x14:conditionalFormatting xmlns:xm="http://schemas.microsoft.com/office/excel/2006/main">
          <x14:cfRule type="iconSet" priority="33" id="{98E8596A-16D1-4263-B873-7DD0E7F70FA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I33</xm:sqref>
        </x14:conditionalFormatting>
        <x14:conditionalFormatting xmlns:xm="http://schemas.microsoft.com/office/excel/2006/main">
          <x14:cfRule type="iconSet" priority="32" id="{C39F689E-032B-4957-936D-F7FECF16542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I34</xm:sqref>
        </x14:conditionalFormatting>
        <x14:conditionalFormatting xmlns:xm="http://schemas.microsoft.com/office/excel/2006/main">
          <x14:cfRule type="iconSet" priority="31" id="{161F3375-B217-43DD-BBD1-F8795C3E938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I35</xm:sqref>
        </x14:conditionalFormatting>
        <x14:conditionalFormatting xmlns:xm="http://schemas.microsoft.com/office/excel/2006/main">
          <x14:cfRule type="iconSet" priority="30" id="{C948C802-AE2B-41E2-B7D6-5083E0395ED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I36</xm:sqref>
        </x14:conditionalFormatting>
        <x14:conditionalFormatting xmlns:xm="http://schemas.microsoft.com/office/excel/2006/main">
          <x14:cfRule type="iconSet" priority="17" id="{15B79476-46D2-4A90-A97B-804F5B97881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I37:I39</xm:sqref>
        </x14:conditionalFormatting>
        <x14:conditionalFormatting xmlns:xm="http://schemas.microsoft.com/office/excel/2006/main">
          <x14:cfRule type="iconSet" priority="53" id="{D280652F-73F3-42E0-8A3F-46C450C20AE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K12</xm:sqref>
        </x14:conditionalFormatting>
        <x14:conditionalFormatting xmlns:xm="http://schemas.microsoft.com/office/excel/2006/main">
          <x14:cfRule type="iconSet" priority="52" id="{023D6FBD-95D0-44C3-8AF2-7D641EB2E9B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K14</xm:sqref>
        </x14:conditionalFormatting>
        <x14:conditionalFormatting xmlns:xm="http://schemas.microsoft.com/office/excel/2006/main">
          <x14:cfRule type="iconSet" priority="51" id="{6D7E4DD4-48AC-48D3-BD1C-C1BCCF4F35F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K16</xm:sqref>
        </x14:conditionalFormatting>
        <x14:conditionalFormatting xmlns:xm="http://schemas.microsoft.com/office/excel/2006/main">
          <x14:cfRule type="iconSet" priority="50" id="{CD38E268-F4BF-42B0-8B09-B7EBB5FCB7B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K18</xm:sqref>
        </x14:conditionalFormatting>
        <x14:conditionalFormatting xmlns:xm="http://schemas.microsoft.com/office/excel/2006/main">
          <x14:cfRule type="iconSet" priority="49" id="{871EDDA8-E78E-410F-91DF-C801D4D43A8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K20</xm:sqref>
        </x14:conditionalFormatting>
        <x14:conditionalFormatting xmlns:xm="http://schemas.microsoft.com/office/excel/2006/main">
          <x14:cfRule type="iconSet" priority="48" id="{14CCFA1C-47B6-4D47-85AC-8D3298E7C13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K22</xm:sqref>
        </x14:conditionalFormatting>
        <x14:conditionalFormatting xmlns:xm="http://schemas.microsoft.com/office/excel/2006/main">
          <x14:cfRule type="iconSet" priority="29" id="{5537663D-7FCF-445D-83B5-B923D26B6CC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K31</xm:sqref>
        </x14:conditionalFormatting>
        <x14:conditionalFormatting xmlns:xm="http://schemas.microsoft.com/office/excel/2006/main">
          <x14:cfRule type="iconSet" priority="28" id="{9CFC3C04-A969-401B-9303-C0A913C1B38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K32</xm:sqref>
        </x14:conditionalFormatting>
        <x14:conditionalFormatting xmlns:xm="http://schemas.microsoft.com/office/excel/2006/main">
          <x14:cfRule type="iconSet" priority="27" id="{DEA9A968-B0AB-49A9-8E50-385F3355F31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K33</xm:sqref>
        </x14:conditionalFormatting>
        <x14:conditionalFormatting xmlns:xm="http://schemas.microsoft.com/office/excel/2006/main">
          <x14:cfRule type="iconSet" priority="26" id="{8C7BE041-7CED-4079-A209-250D178C42C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K34</xm:sqref>
        </x14:conditionalFormatting>
        <x14:conditionalFormatting xmlns:xm="http://schemas.microsoft.com/office/excel/2006/main">
          <x14:cfRule type="iconSet" priority="25" id="{FC819506-80A2-468E-949E-BD6A3530EDF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K35</xm:sqref>
        </x14:conditionalFormatting>
        <x14:conditionalFormatting xmlns:xm="http://schemas.microsoft.com/office/excel/2006/main">
          <x14:cfRule type="iconSet" priority="24" id="{A127BAC9-3F94-44B4-9AB3-88CA3955483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K36</xm:sqref>
        </x14:conditionalFormatting>
        <x14:conditionalFormatting xmlns:xm="http://schemas.microsoft.com/office/excel/2006/main">
          <x14:cfRule type="iconSet" priority="16" id="{02E7FFBC-09A3-4001-BB8A-813457B05DB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K37:K39</xm:sqref>
        </x14:conditionalFormatting>
        <x14:conditionalFormatting xmlns:xm="http://schemas.microsoft.com/office/excel/2006/main">
          <x14:cfRule type="iconSet" priority="47" id="{099C7D7A-143B-4856-92CA-9C7DE4A2EAE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M12</xm:sqref>
        </x14:conditionalFormatting>
        <x14:conditionalFormatting xmlns:xm="http://schemas.microsoft.com/office/excel/2006/main">
          <x14:cfRule type="iconSet" priority="46" id="{9337B5EA-C88C-42C5-AD85-9AA2E01947E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M14</xm:sqref>
        </x14:conditionalFormatting>
        <x14:conditionalFormatting xmlns:xm="http://schemas.microsoft.com/office/excel/2006/main">
          <x14:cfRule type="iconSet" priority="45" id="{84A7A3B9-670E-4FB1-A351-950652907B5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M16</xm:sqref>
        </x14:conditionalFormatting>
        <x14:conditionalFormatting xmlns:xm="http://schemas.microsoft.com/office/excel/2006/main">
          <x14:cfRule type="iconSet" priority="44" id="{EAFFF454-082B-4A9C-BAB7-7AB1A32A87B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M18</xm:sqref>
        </x14:conditionalFormatting>
        <x14:conditionalFormatting xmlns:xm="http://schemas.microsoft.com/office/excel/2006/main">
          <x14:cfRule type="iconSet" priority="43" id="{E79DF409-77AA-41FE-B198-7DD4F4920F6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M20</xm:sqref>
        </x14:conditionalFormatting>
        <x14:conditionalFormatting xmlns:xm="http://schemas.microsoft.com/office/excel/2006/main">
          <x14:cfRule type="iconSet" priority="42" id="{96A40255-79A3-4612-9268-3064FE8D7FB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M22</xm:sqref>
        </x14:conditionalFormatting>
        <x14:conditionalFormatting xmlns:xm="http://schemas.microsoft.com/office/excel/2006/main">
          <x14:cfRule type="iconSet" priority="23" id="{787E63E4-795F-4675-8610-EFF6B9C7174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M31</xm:sqref>
        </x14:conditionalFormatting>
        <x14:conditionalFormatting xmlns:xm="http://schemas.microsoft.com/office/excel/2006/main">
          <x14:cfRule type="iconSet" priority="22" id="{E0C166CF-63D2-41E4-9E6D-8DF16AFC04B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M32</xm:sqref>
        </x14:conditionalFormatting>
        <x14:conditionalFormatting xmlns:xm="http://schemas.microsoft.com/office/excel/2006/main">
          <x14:cfRule type="iconSet" priority="21" id="{4C0DAEAE-7F84-4695-A420-FEA47AAF21F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M33</xm:sqref>
        </x14:conditionalFormatting>
        <x14:conditionalFormatting xmlns:xm="http://schemas.microsoft.com/office/excel/2006/main">
          <x14:cfRule type="iconSet" priority="20" id="{0C022785-6B12-4C83-8EC4-A6450482BB4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M34</xm:sqref>
        </x14:conditionalFormatting>
        <x14:conditionalFormatting xmlns:xm="http://schemas.microsoft.com/office/excel/2006/main">
          <x14:cfRule type="iconSet" priority="19" id="{F152BFA8-CF12-4948-AAAE-B96BA09A489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M35</xm:sqref>
        </x14:conditionalFormatting>
        <x14:conditionalFormatting xmlns:xm="http://schemas.microsoft.com/office/excel/2006/main">
          <x14:cfRule type="iconSet" priority="18" id="{7DF9EAFA-921F-4BFD-9A2A-8013AEDF1F9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M36</xm:sqref>
        </x14:conditionalFormatting>
        <x14:conditionalFormatting xmlns:xm="http://schemas.microsoft.com/office/excel/2006/main">
          <x14:cfRule type="iconSet" priority="15" id="{156A1725-BD13-4E96-857D-C081FF0E731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M37:M39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5"/>
  <sheetViews>
    <sheetView showGridLines="0" showRowColHeaders="0" workbookViewId="0">
      <selection activeCell="D3" sqref="D3:E3"/>
    </sheetView>
  </sheetViews>
  <sheetFormatPr baseColWidth="10" defaultColWidth="0" defaultRowHeight="15" zeroHeight="1" x14ac:dyDescent="0.25"/>
  <cols>
    <col min="1" max="1" width="3.28515625" customWidth="1"/>
    <col min="2" max="2" width="9.42578125" customWidth="1"/>
    <col min="3" max="3" width="6.28515625" customWidth="1"/>
    <col min="4" max="4" width="5" customWidth="1"/>
    <col min="5" max="5" width="7.28515625" customWidth="1"/>
    <col min="6" max="6" width="6.28515625" customWidth="1"/>
    <col min="7" max="7" width="7.28515625" customWidth="1"/>
    <col min="8" max="8" width="6.28515625" customWidth="1"/>
    <col min="9" max="9" width="7.28515625" customWidth="1"/>
    <col min="10" max="10" width="6.28515625" customWidth="1"/>
    <col min="11" max="11" width="7.28515625" customWidth="1"/>
    <col min="12" max="12" width="6.28515625" customWidth="1"/>
    <col min="13" max="13" width="7.28515625" customWidth="1"/>
    <col min="14" max="14" width="6.28515625" customWidth="1"/>
    <col min="15" max="15" width="5.28515625" customWidth="1"/>
    <col min="16" max="16" width="3.28515625" customWidth="1"/>
    <col min="17" max="16384" width="11.42578125" hidden="1"/>
  </cols>
  <sheetData>
    <row r="1" spans="2:15" x14ac:dyDescent="0.25"/>
    <row r="2" spans="2:15" x14ac:dyDescent="0.25">
      <c r="C2" s="416" t="s">
        <v>936</v>
      </c>
      <c r="D2" s="416"/>
      <c r="E2" s="417" t="s">
        <v>937</v>
      </c>
      <c r="F2" s="417"/>
      <c r="G2" s="413" t="s">
        <v>938</v>
      </c>
      <c r="H2" s="413"/>
    </row>
    <row r="3" spans="2:15" ht="23.25" x14ac:dyDescent="0.35">
      <c r="B3" s="286" t="s">
        <v>933</v>
      </c>
      <c r="C3" s="415">
        <v>50</v>
      </c>
      <c r="D3" s="415"/>
      <c r="E3" s="418">
        <v>16</v>
      </c>
      <c r="F3" s="418"/>
      <c r="G3" s="414">
        <v>2</v>
      </c>
      <c r="H3" s="414"/>
      <c r="J3" s="284" t="str">
        <f>IF(OR((C3-C4)&lt;3,(C4-C5)&lt;3,(C3-C4)&gt;25,C5&lt;15,ISERROR(F31)),"Bitte überprüfen Sie ihre Eingaben!","")</f>
        <v/>
      </c>
    </row>
    <row r="4" spans="2:15" ht="23.25" x14ac:dyDescent="0.35">
      <c r="B4" s="286" t="s">
        <v>934</v>
      </c>
      <c r="C4" s="415">
        <v>40</v>
      </c>
      <c r="D4" s="415"/>
      <c r="E4" s="418">
        <v>19</v>
      </c>
      <c r="F4" s="418"/>
      <c r="G4" s="414"/>
      <c r="H4" s="414"/>
      <c r="J4" s="284" t="str">
        <f>IF(ISERROR(F12),"Bitte überprüfen Sie ihre Eingaben!","")</f>
        <v/>
      </c>
    </row>
    <row r="5" spans="2:15" ht="23.25" x14ac:dyDescent="0.35">
      <c r="B5" s="286" t="s">
        <v>935</v>
      </c>
      <c r="C5" s="415">
        <v>20</v>
      </c>
      <c r="D5" s="415"/>
      <c r="E5" s="418">
        <v>27</v>
      </c>
      <c r="F5" s="418"/>
      <c r="G5" s="414"/>
      <c r="H5" s="414"/>
    </row>
    <row r="6" spans="2:15" x14ac:dyDescent="0.25"/>
    <row r="7" spans="2:15" ht="21" x14ac:dyDescent="0.35">
      <c r="B7" s="19" t="str">
        <f>VLOOKUP(1,TXT_K,$G$3,0)</f>
        <v>Kühlmedium  (PKW)</v>
      </c>
      <c r="C7" s="19"/>
      <c r="D7" s="19"/>
      <c r="E7" s="19"/>
      <c r="F7" s="20" t="str">
        <f>CONCATENATE(E3,"°C"," / ",E4,"°C")</f>
        <v>16°C / 19°C</v>
      </c>
      <c r="G7" s="20"/>
      <c r="H7" s="20"/>
      <c r="I7" s="20"/>
      <c r="J7" s="19"/>
      <c r="K7" s="19"/>
      <c r="L7" s="19"/>
      <c r="M7" s="21" t="str">
        <f>VLOOKUP(8,TXT_K,$G$3,0)</f>
        <v>Raumtemperatur</v>
      </c>
      <c r="N7" s="21"/>
      <c r="O7" s="22" t="str">
        <f>CONCATENATE("+",E5,"°C")</f>
        <v>+27°C</v>
      </c>
    </row>
    <row r="8" spans="2:15" s="74" customFormat="1" ht="12" x14ac:dyDescent="0.2"/>
    <row r="9" spans="2:15" s="74" customFormat="1" ht="12" x14ac:dyDescent="0.2">
      <c r="B9" s="74" t="str">
        <f>VLOOKUP(2,TXT_K,$G$3,0)</f>
        <v>Modell</v>
      </c>
      <c r="F9" s="422" t="str">
        <f>VLOOKUP(7,TXT_K,$G$3,0)</f>
        <v>Leistungsprozent</v>
      </c>
      <c r="G9" s="422"/>
      <c r="H9" s="422"/>
      <c r="I9" s="422"/>
      <c r="J9" s="422"/>
      <c r="K9" s="422"/>
      <c r="L9" s="422"/>
      <c r="M9" s="422"/>
      <c r="N9" s="422"/>
    </row>
    <row r="10" spans="2:15" ht="21" x14ac:dyDescent="0.35">
      <c r="B10" s="14" t="s">
        <v>1025</v>
      </c>
      <c r="E10" s="72"/>
      <c r="F10" s="71">
        <v>0.3</v>
      </c>
      <c r="G10" s="3"/>
      <c r="H10" s="3">
        <v>0.4</v>
      </c>
      <c r="I10" s="2"/>
      <c r="J10" s="2">
        <v>0.5</v>
      </c>
      <c r="K10" s="1"/>
      <c r="L10" s="1">
        <v>0.6</v>
      </c>
      <c r="M10" s="4"/>
      <c r="N10" s="4">
        <v>1</v>
      </c>
      <c r="O10" s="6"/>
    </row>
    <row r="11" spans="2:15" s="74" customFormat="1" ht="28.5" customHeight="1" x14ac:dyDescent="0.2">
      <c r="B11" s="85" t="str">
        <f>VLOOKUP(3,TXT_K,$G$3,0)</f>
        <v>Wanne  Bk [mm]</v>
      </c>
      <c r="C11" s="85" t="str">
        <f>VLOOKUP(4,TXT_K,$G$3,0)</f>
        <v>Element He [mm]</v>
      </c>
      <c r="E11" s="421" t="str">
        <f>VLOOKUP(20,TXT_K,$G$3,0)</f>
        <v>Kühlleistung [W]</v>
      </c>
      <c r="F11" s="421"/>
      <c r="G11" s="421"/>
      <c r="H11" s="421"/>
      <c r="I11" s="421"/>
      <c r="J11" s="421"/>
      <c r="K11" s="421"/>
      <c r="L11" s="421"/>
      <c r="M11" s="421"/>
      <c r="N11" s="421"/>
      <c r="O11" s="66" t="s">
        <v>970</v>
      </c>
    </row>
    <row r="12" spans="2:15" x14ac:dyDescent="0.25">
      <c r="B12" s="423" t="s">
        <v>964</v>
      </c>
      <c r="C12" s="425" t="s">
        <v>991</v>
      </c>
      <c r="D12" s="63" t="s">
        <v>1005</v>
      </c>
      <c r="E12" s="67">
        <f>ROUND(F12/(($E$4-$E$3)*1.161),0)</f>
        <v>32</v>
      </c>
      <c r="F12" s="68">
        <f>ROUND(F$14*0.5,0)</f>
        <v>113</v>
      </c>
      <c r="G12" s="30">
        <f>ROUND(H12/(($E$4-$E$3)*1.161),0)</f>
        <v>48</v>
      </c>
      <c r="H12" s="48">
        <f>ROUND(H$14*0.5,0)</f>
        <v>167</v>
      </c>
      <c r="I12" s="32">
        <f>ROUND(J12/(($E$4-$E$3)*1.161),0)</f>
        <v>59</v>
      </c>
      <c r="J12" s="51">
        <f>ROUND(J$14*0.51,0)</f>
        <v>206</v>
      </c>
      <c r="K12" s="34">
        <f>ROUND(L12/(($E$4-$E$3)*1.161),0)</f>
        <v>69</v>
      </c>
      <c r="L12" s="55">
        <f>ROUND(L$14*0.51,0)</f>
        <v>240</v>
      </c>
      <c r="M12" s="36">
        <f>ROUND(N12/(($E$4-$E$3)*1.161),0)</f>
        <v>96</v>
      </c>
      <c r="N12" s="59">
        <f>ROUND(N$14*0.52,0)</f>
        <v>335</v>
      </c>
      <c r="O12" s="419" t="s">
        <v>971</v>
      </c>
    </row>
    <row r="13" spans="2:15" x14ac:dyDescent="0.25">
      <c r="B13" s="424"/>
      <c r="C13" s="426"/>
      <c r="D13" s="64" t="s">
        <v>1006</v>
      </c>
      <c r="E13" s="69"/>
      <c r="F13" s="70">
        <f>ROUND(F$15*0.5,0)</f>
        <v>113</v>
      </c>
      <c r="G13" s="31"/>
      <c r="H13" s="29">
        <f>ROUND(H$15*0.5,0)</f>
        <v>167</v>
      </c>
      <c r="I13" s="33"/>
      <c r="J13" s="52">
        <f>ROUND(J$15*0.51,0)</f>
        <v>206</v>
      </c>
      <c r="K13" s="35"/>
      <c r="L13" s="56">
        <f>ROUND(L$15*0.51,0)</f>
        <v>240</v>
      </c>
      <c r="M13" s="37"/>
      <c r="N13" s="60">
        <f>ROUND(N$15*0.52,0)</f>
        <v>335</v>
      </c>
      <c r="O13" s="420"/>
    </row>
    <row r="14" spans="2:15" x14ac:dyDescent="0.25">
      <c r="B14" s="423" t="s">
        <v>988</v>
      </c>
      <c r="C14" s="425" t="s">
        <v>992</v>
      </c>
      <c r="D14" s="63" t="s">
        <v>1005</v>
      </c>
      <c r="E14" s="67">
        <f>ROUND(F14/(($E$4-$E$3)*1.161),0)</f>
        <v>65</v>
      </c>
      <c r="F14" s="68">
        <f>ROUND(SUM(VLOOKUP(CONCATENATE(E3,"-",E4,"-",E5),LEISTUNGEN_K,7,0)*1.02),0)</f>
        <v>226</v>
      </c>
      <c r="G14" s="30">
        <f>ROUND(H14/(($E$4-$E$3)*1.161),0)</f>
        <v>96</v>
      </c>
      <c r="H14" s="48">
        <f>ROUND(SUM(VLOOKUP(CONCATENATE(E3,"-",E4,"-",E5),LEISTUNGEN_K,6,0)*1.03),0)</f>
        <v>334</v>
      </c>
      <c r="I14" s="32">
        <f>ROUND(J14/(($E$4-$E$3)*1.161),0)</f>
        <v>116</v>
      </c>
      <c r="J14" s="51">
        <f>ROUND(SUM(VLOOKUP(CONCATENATE(E3,"-",E4,"-",E5),LEISTUNGEN_K,5,0)*1.035),0)</f>
        <v>403</v>
      </c>
      <c r="K14" s="34">
        <f>ROUND(L14/(($E$4-$E$3)*1.161),0)</f>
        <v>135</v>
      </c>
      <c r="L14" s="55">
        <f>ROUND(SUM(VLOOKUP(CONCATENATE(E3,"-",E4,"-",E5),LEISTUNGEN_K,4,0)*1.037),0)</f>
        <v>471</v>
      </c>
      <c r="M14" s="36">
        <f>ROUND(N14/(($E$4-$E$3)*1.161),0)</f>
        <v>185</v>
      </c>
      <c r="N14" s="59">
        <f>ROUND(SUM(VLOOKUP(CONCATENATE(E3,"-",E4,"-",E5),LEISTUNGEN_K,2,0)*1.045),0)</f>
        <v>645</v>
      </c>
      <c r="O14" s="419" t="s">
        <v>972</v>
      </c>
    </row>
    <row r="15" spans="2:15" x14ac:dyDescent="0.25">
      <c r="B15" s="424"/>
      <c r="C15" s="426"/>
      <c r="D15" s="64" t="s">
        <v>1006</v>
      </c>
      <c r="E15" s="69"/>
      <c r="F15" s="70">
        <f>ROUND(SUM(VLOOKUP(CONCATENATE(E3,"-",E4,"-",E5),LEISTUNGEN_K,14,0)*1.02),0)</f>
        <v>226</v>
      </c>
      <c r="G15" s="31"/>
      <c r="H15" s="29">
        <f>ROUND(SUM(VLOOKUP(CONCATENATE(E3,"-",E4,"-",E5),LEISTUNGEN_K,13,0)*1.03),0)</f>
        <v>334</v>
      </c>
      <c r="I15" s="33"/>
      <c r="J15" s="52">
        <f>ROUND(SUM(VLOOKUP(CONCATENATE(E3,"-",E4,"-",E5),LEISTUNGEN_K,12,0)*1.035),0)</f>
        <v>403</v>
      </c>
      <c r="K15" s="35"/>
      <c r="L15" s="56">
        <f>ROUND(SUM(VLOOKUP(CONCATENATE(E3,"-",E4,"-",E5),LEISTUNGEN_K,11,0)*1.037),0)</f>
        <v>471</v>
      </c>
      <c r="M15" s="37"/>
      <c r="N15" s="60">
        <f>ROUND(SUM(VLOOKUP(CONCATENATE(E3,"-",E4,"-",E5),LEISTUNGEN_K,9,0)*1.045),0)</f>
        <v>645</v>
      </c>
      <c r="O15" s="420"/>
    </row>
    <row r="16" spans="2:15" x14ac:dyDescent="0.25">
      <c r="B16" s="423" t="s">
        <v>965</v>
      </c>
      <c r="C16" s="425" t="s">
        <v>993</v>
      </c>
      <c r="D16" s="63" t="s">
        <v>1005</v>
      </c>
      <c r="E16" s="67">
        <f>ROUND(F16/(($E$4-$E$3)*1.161),0)</f>
        <v>100</v>
      </c>
      <c r="F16" s="68">
        <f>ROUND(F$14*1.55,0)</f>
        <v>350</v>
      </c>
      <c r="G16" s="30">
        <f>ROUND(H16/(($E$4-$E$3)*1.161),0)</f>
        <v>149</v>
      </c>
      <c r="H16" s="48">
        <f>ROUND(H$14*1.55,0)</f>
        <v>518</v>
      </c>
      <c r="I16" s="32">
        <f>ROUND(J16/(($E$4-$E$3)*1.161),0)</f>
        <v>181</v>
      </c>
      <c r="J16" s="51">
        <f>ROUND(J$14*1.56,0)</f>
        <v>629</v>
      </c>
      <c r="K16" s="34">
        <f>ROUND(L16/(($E$4-$E$3)*1.161),0)</f>
        <v>211</v>
      </c>
      <c r="L16" s="55">
        <f>ROUND(L$14*1.56,0)</f>
        <v>735</v>
      </c>
      <c r="M16" s="36">
        <f>ROUND(N16/(($E$4-$E$3)*1.161),0)</f>
        <v>295</v>
      </c>
      <c r="N16" s="59">
        <f>ROUND(N$14*1.59,0)</f>
        <v>1026</v>
      </c>
      <c r="O16" s="419" t="s">
        <v>973</v>
      </c>
    </row>
    <row r="17" spans="2:15" x14ac:dyDescent="0.25">
      <c r="B17" s="424"/>
      <c r="C17" s="426"/>
      <c r="D17" s="64" t="s">
        <v>1006</v>
      </c>
      <c r="E17" s="69"/>
      <c r="F17" s="70">
        <f>ROUND(F$15*1.55,0)</f>
        <v>350</v>
      </c>
      <c r="G17" s="31"/>
      <c r="H17" s="29">
        <f>ROUND(H$15*1.55,0)</f>
        <v>518</v>
      </c>
      <c r="I17" s="33"/>
      <c r="J17" s="52">
        <f>ROUND(J$15*1.56,0)</f>
        <v>629</v>
      </c>
      <c r="K17" s="35"/>
      <c r="L17" s="56">
        <f>ROUND(L$15*1.56,0)</f>
        <v>735</v>
      </c>
      <c r="M17" s="37"/>
      <c r="N17" s="60">
        <f>ROUND(N$15*1.59,0)</f>
        <v>1026</v>
      </c>
      <c r="O17" s="420"/>
    </row>
    <row r="18" spans="2:15" x14ac:dyDescent="0.25">
      <c r="B18" s="423" t="s">
        <v>989</v>
      </c>
      <c r="C18" s="425" t="s">
        <v>994</v>
      </c>
      <c r="D18" s="63" t="s">
        <v>1005</v>
      </c>
      <c r="E18" s="67">
        <f>ROUND(F18/(($E$4-$E$3)*1.161),0)</f>
        <v>134</v>
      </c>
      <c r="F18" s="68">
        <f>ROUND(F$14*2.06,0)</f>
        <v>466</v>
      </c>
      <c r="G18" s="30">
        <f>ROUND(H18/(($E$4-$E$3)*1.161),0)</f>
        <v>198</v>
      </c>
      <c r="H18" s="48">
        <f>ROUND(H$14*2.06,0)</f>
        <v>688</v>
      </c>
      <c r="I18" s="32">
        <f>ROUND(J18/(($E$4-$E$3)*1.161),0)</f>
        <v>241</v>
      </c>
      <c r="J18" s="51">
        <f>ROUND(J$14*2.08,0)</f>
        <v>838</v>
      </c>
      <c r="K18" s="34">
        <f>ROUND(L18/(($E$4-$E$3)*1.161),0)</f>
        <v>281</v>
      </c>
      <c r="L18" s="55">
        <f>ROUND(L$14*2.08,0)</f>
        <v>980</v>
      </c>
      <c r="M18" s="36">
        <f>ROUND(N18/(($E$4-$E$3)*1.161),0)</f>
        <v>391</v>
      </c>
      <c r="N18" s="59">
        <f>ROUND(N$14*2.11,0)</f>
        <v>1361</v>
      </c>
      <c r="O18" s="419" t="s">
        <v>974</v>
      </c>
    </row>
    <row r="19" spans="2:15" x14ac:dyDescent="0.25">
      <c r="B19" s="424"/>
      <c r="C19" s="426"/>
      <c r="D19" s="64" t="s">
        <v>1006</v>
      </c>
      <c r="E19" s="69"/>
      <c r="F19" s="70">
        <f>ROUND(F$15*2.06,0)</f>
        <v>466</v>
      </c>
      <c r="G19" s="31"/>
      <c r="H19" s="29">
        <f>ROUND(H$15*2.06,0)</f>
        <v>688</v>
      </c>
      <c r="I19" s="33"/>
      <c r="J19" s="52">
        <f>ROUND(J$15*2.08,0)</f>
        <v>838</v>
      </c>
      <c r="K19" s="35"/>
      <c r="L19" s="56">
        <f>ROUND(L$15*2.08,0)</f>
        <v>980</v>
      </c>
      <c r="M19" s="37"/>
      <c r="N19" s="60">
        <f>ROUND(N$15*2.11,0)</f>
        <v>1361</v>
      </c>
      <c r="O19" s="420"/>
    </row>
    <row r="20" spans="2:15" x14ac:dyDescent="0.25">
      <c r="B20" s="423" t="s">
        <v>966</v>
      </c>
      <c r="C20" s="425" t="s">
        <v>995</v>
      </c>
      <c r="D20" s="63" t="s">
        <v>1005</v>
      </c>
      <c r="E20" s="67">
        <f>ROUND(F20/(($E$4-$E$3)*1.161),0)</f>
        <v>169</v>
      </c>
      <c r="F20" s="68">
        <f>ROUND(F$14*2.6,0)</f>
        <v>588</v>
      </c>
      <c r="G20" s="30">
        <f>ROUND(H20/(($E$4-$E$3)*1.161),0)</f>
        <v>249</v>
      </c>
      <c r="H20" s="48">
        <f>ROUND(H$14*2.6,0)</f>
        <v>868</v>
      </c>
      <c r="I20" s="32">
        <f>ROUND(J20/(($E$4-$E$3)*1.161),0)</f>
        <v>307</v>
      </c>
      <c r="J20" s="51">
        <f>ROUND(J$14*2.65,0)</f>
        <v>1068</v>
      </c>
      <c r="K20" s="34">
        <f>ROUND(L20/(($E$4-$E$3)*1.161),0)</f>
        <v>358</v>
      </c>
      <c r="L20" s="55">
        <f>ROUND(L$14*2.65,0)</f>
        <v>1248</v>
      </c>
      <c r="M20" s="36">
        <f>ROUND(N20/(($E$4-$E$3)*1.161),0)</f>
        <v>500</v>
      </c>
      <c r="N20" s="59">
        <f>ROUND(N$14*2.7,0)</f>
        <v>1742</v>
      </c>
      <c r="O20" s="419" t="s">
        <v>975</v>
      </c>
    </row>
    <row r="21" spans="2:15" x14ac:dyDescent="0.25">
      <c r="B21" s="424"/>
      <c r="C21" s="426"/>
      <c r="D21" s="64" t="s">
        <v>1006</v>
      </c>
      <c r="E21" s="69"/>
      <c r="F21" s="70">
        <f>ROUND(F$15*2.6,0)</f>
        <v>588</v>
      </c>
      <c r="G21" s="31"/>
      <c r="H21" s="29">
        <f>ROUND(H$15*2.6,0)</f>
        <v>868</v>
      </c>
      <c r="I21" s="33"/>
      <c r="J21" s="52">
        <f>ROUND(J$15*2.65,0)</f>
        <v>1068</v>
      </c>
      <c r="K21" s="35"/>
      <c r="L21" s="56">
        <f t="shared" ref="L21" si="0">ROUND(L$15*2.65,0)</f>
        <v>1248</v>
      </c>
      <c r="M21" s="37"/>
      <c r="N21" s="60">
        <f>ROUND(N$15*2.7,0)</f>
        <v>1742</v>
      </c>
      <c r="O21" s="420"/>
    </row>
    <row r="22" spans="2:15" x14ac:dyDescent="0.25">
      <c r="B22" s="423" t="s">
        <v>990</v>
      </c>
      <c r="C22" s="425" t="s">
        <v>996</v>
      </c>
      <c r="D22" s="63" t="s">
        <v>1005</v>
      </c>
      <c r="E22" s="67">
        <f>ROUND(F22/(($E$4-$E$3)*1.161),0)</f>
        <v>201</v>
      </c>
      <c r="F22" s="68">
        <f>ROUND(F$14*3.1,0)</f>
        <v>701</v>
      </c>
      <c r="G22" s="30">
        <f>ROUND(H22/(($E$4-$E$3)*1.161),0)</f>
        <v>297</v>
      </c>
      <c r="H22" s="48">
        <f>ROUND(H$14*3.1,0)</f>
        <v>1035</v>
      </c>
      <c r="I22" s="32">
        <f>ROUND(J22/(($E$4-$E$3)*1.161),0)</f>
        <v>362</v>
      </c>
      <c r="J22" s="51">
        <f>ROUND(J$14*3.13,0)</f>
        <v>1261</v>
      </c>
      <c r="K22" s="34">
        <f>ROUND(L22/(($E$4-$E$3)*1.161),0)</f>
        <v>423</v>
      </c>
      <c r="L22" s="55">
        <f>ROUND(L$14*3.13,0)</f>
        <v>1474</v>
      </c>
      <c r="M22" s="36">
        <f>ROUND(N22/(($E$4-$E$3)*1.161),0)</f>
        <v>589</v>
      </c>
      <c r="N22" s="59">
        <f>ROUND(N$14*3.18,0)</f>
        <v>2051</v>
      </c>
      <c r="O22" s="419" t="s">
        <v>976</v>
      </c>
    </row>
    <row r="23" spans="2:15" x14ac:dyDescent="0.25">
      <c r="B23" s="424"/>
      <c r="C23" s="426"/>
      <c r="D23" s="64" t="s">
        <v>1006</v>
      </c>
      <c r="E23" s="69"/>
      <c r="F23" s="70">
        <f>ROUND(F$15*3.1,0)</f>
        <v>701</v>
      </c>
      <c r="G23" s="31"/>
      <c r="H23" s="29">
        <f>ROUND(H$15*3.1,0)</f>
        <v>1035</v>
      </c>
      <c r="I23" s="33"/>
      <c r="J23" s="52">
        <f>ROUND(J$15*3.13,0)</f>
        <v>1261</v>
      </c>
      <c r="K23" s="35"/>
      <c r="L23" s="56">
        <f t="shared" ref="L23" si="1">ROUND(L$15*3.13,0)</f>
        <v>1474</v>
      </c>
      <c r="M23" s="37"/>
      <c r="N23" s="60">
        <f>ROUND(N$15*3.18,0)</f>
        <v>2051</v>
      </c>
      <c r="O23" s="420"/>
    </row>
    <row r="24" spans="2:15" s="74" customFormat="1" ht="12" x14ac:dyDescent="0.2">
      <c r="O24" s="94" t="str">
        <f>VLOOKUP(23,TXT_K,$G$3,0)</f>
        <v>Leistung nach DIN EN 16430</v>
      </c>
    </row>
    <row r="25" spans="2:15" x14ac:dyDescent="0.25"/>
    <row r="26" spans="2:15" ht="21" x14ac:dyDescent="0.35">
      <c r="B26" s="15" t="str">
        <f>VLOOKUP(22,TXT_K,$G$3,0)</f>
        <v>Heizmedium  (PWW)</v>
      </c>
      <c r="C26" s="15"/>
      <c r="D26" s="15"/>
      <c r="E26" s="15"/>
      <c r="F26" s="16" t="str">
        <f>CONCATENATE(C3,"°C"," / ",C4,"°C")</f>
        <v>50°C / 40°C</v>
      </c>
      <c r="G26" s="16"/>
      <c r="H26" s="16"/>
      <c r="I26" s="16"/>
      <c r="J26" s="15"/>
      <c r="K26" s="15"/>
      <c r="L26" s="15"/>
      <c r="M26" s="17" t="str">
        <f>VLOOKUP(8,TXT_K,$G$3,0)</f>
        <v>Raumtemperatur</v>
      </c>
      <c r="N26" s="17"/>
      <c r="O26" s="18" t="str">
        <f>CONCATENATE("+",C5,"°C")</f>
        <v>+20°C</v>
      </c>
    </row>
    <row r="27" spans="2:15" s="74" customFormat="1" ht="12" x14ac:dyDescent="0.2"/>
    <row r="28" spans="2:15" s="74" customFormat="1" ht="12" x14ac:dyDescent="0.2">
      <c r="B28" s="74" t="str">
        <f>VLOOKUP(2,TXT_K,$G$3,0)</f>
        <v>Modell</v>
      </c>
      <c r="F28" s="422" t="str">
        <f>VLOOKUP(7,TXT_K,$G$3,0)</f>
        <v>Leistungsprozent</v>
      </c>
      <c r="G28" s="422"/>
      <c r="H28" s="422"/>
      <c r="I28" s="422"/>
      <c r="J28" s="422"/>
      <c r="K28" s="422"/>
      <c r="L28" s="422"/>
      <c r="M28" s="422"/>
      <c r="N28" s="422"/>
    </row>
    <row r="29" spans="2:15" ht="21" x14ac:dyDescent="0.35">
      <c r="B29" s="7" t="s">
        <v>1025</v>
      </c>
      <c r="E29" s="77"/>
      <c r="F29" s="78">
        <v>0.3</v>
      </c>
      <c r="G29" s="11"/>
      <c r="H29" s="11">
        <v>0.4</v>
      </c>
      <c r="I29" s="8"/>
      <c r="J29" s="8">
        <v>0.5</v>
      </c>
      <c r="K29" s="9"/>
      <c r="L29" s="9">
        <v>0.6</v>
      </c>
      <c r="M29" s="10"/>
      <c r="N29" s="10">
        <v>1</v>
      </c>
      <c r="O29" s="6"/>
    </row>
    <row r="30" spans="2:15" s="74" customFormat="1" ht="28.5" customHeight="1" x14ac:dyDescent="0.2">
      <c r="B30" s="85" t="str">
        <f>VLOOKUP(3,TXT_K,$G$3,0)</f>
        <v>Wanne  Bk [mm]</v>
      </c>
      <c r="C30" s="85" t="str">
        <f>VLOOKUP(4,TXT_K,$G$3,0)</f>
        <v>Element He [mm]</v>
      </c>
      <c r="E30" s="421" t="str">
        <f>VLOOKUP(21,TXT_K,$G$3,0)</f>
        <v>Heizleistung [W]</v>
      </c>
      <c r="F30" s="421"/>
      <c r="G30" s="421"/>
      <c r="H30" s="421"/>
      <c r="I30" s="421"/>
      <c r="J30" s="421"/>
      <c r="K30" s="421"/>
      <c r="L30" s="421"/>
      <c r="M30" s="421"/>
      <c r="N30" s="421"/>
      <c r="O30" s="66" t="s">
        <v>970</v>
      </c>
    </row>
    <row r="31" spans="2:15" x14ac:dyDescent="0.25">
      <c r="B31" s="12" t="s">
        <v>964</v>
      </c>
      <c r="C31" s="46" t="s">
        <v>991</v>
      </c>
      <c r="D31" s="63" t="s">
        <v>1005</v>
      </c>
      <c r="E31" s="79">
        <f>ROUND(F31/(($C$3-$C$4)*1.161),0)</f>
        <v>37</v>
      </c>
      <c r="F31" s="80">
        <f>ROUND(F32*0.5,0)</f>
        <v>428</v>
      </c>
      <c r="G31" s="38">
        <f t="shared" ref="E31:G36" si="2">ROUND(H31/(($C$3-$C$4)*1.161),0)</f>
        <v>50</v>
      </c>
      <c r="H31" s="49">
        <f>ROUND(H32*0.5,0)</f>
        <v>579</v>
      </c>
      <c r="I31" s="40">
        <f t="shared" ref="I31:I36" si="3">ROUND(J31/(($C$3-$C$4)*1.161),0)</f>
        <v>58</v>
      </c>
      <c r="J31" s="53">
        <f>ROUND(J32*0.5,0)</f>
        <v>675</v>
      </c>
      <c r="K31" s="42">
        <f t="shared" ref="K31:K36" si="4">ROUND(L31/(($C$3-$C$4)*1.161),0)</f>
        <v>66</v>
      </c>
      <c r="L31" s="57">
        <f t="shared" ref="L31:N31" si="5">ROUND(L32*0.5,0)</f>
        <v>768</v>
      </c>
      <c r="M31" s="44">
        <f t="shared" ref="M31:M36" si="6">ROUND(N31/(($C$3-$C$4)*1.161),0)</f>
        <v>84</v>
      </c>
      <c r="N31" s="61">
        <f t="shared" si="5"/>
        <v>981</v>
      </c>
      <c r="O31" s="23" t="s">
        <v>971</v>
      </c>
    </row>
    <row r="32" spans="2:15" x14ac:dyDescent="0.25">
      <c r="B32" s="12" t="s">
        <v>988</v>
      </c>
      <c r="C32" s="46" t="s">
        <v>992</v>
      </c>
      <c r="D32" s="63" t="s">
        <v>1005</v>
      </c>
      <c r="E32" s="79">
        <f t="shared" si="2"/>
        <v>74</v>
      </c>
      <c r="F32" s="80">
        <f>ROUND(SUM('BASE-HEIZ'!G3)*1.02*VLOOKUP(((C3+C4)/2)-C5,FAKTOR_K,2,0),0)</f>
        <v>855</v>
      </c>
      <c r="G32" s="38">
        <f t="shared" si="2"/>
        <v>100</v>
      </c>
      <c r="H32" s="49">
        <f>ROUND(SUM('BASE-HEIZ'!F3)*1.03*VLOOKUP(((C3+C4)/2)-C5,FAKTOR_K,2,0),0)</f>
        <v>1158</v>
      </c>
      <c r="I32" s="40">
        <f t="shared" si="3"/>
        <v>116</v>
      </c>
      <c r="J32" s="53">
        <f>ROUND(SUM('BASE-HEIZ'!E3)*1.035*VLOOKUP(((C3+C4)/2)-C5,FAKTOR_K,2,0),0)</f>
        <v>1349</v>
      </c>
      <c r="K32" s="42">
        <f t="shared" si="4"/>
        <v>132</v>
      </c>
      <c r="L32" s="57">
        <f>ROUND(SUM('BASE-HEIZ'!D3)*1.037*VLOOKUP(((C3+C4)/2)-C5,FAKTOR_K,2,0),0)</f>
        <v>1536</v>
      </c>
      <c r="M32" s="44">
        <f t="shared" si="6"/>
        <v>169</v>
      </c>
      <c r="N32" s="61">
        <f>ROUND(SUM('BASE-HEIZ'!B3)*1.045*VLOOKUP(((C3+C4)/2)-C5,FAKTOR_K,2,0),0)</f>
        <v>1962</v>
      </c>
      <c r="O32" s="24" t="s">
        <v>972</v>
      </c>
    </row>
    <row r="33" spans="2:15" x14ac:dyDescent="0.25">
      <c r="B33" s="12" t="s">
        <v>965</v>
      </c>
      <c r="C33" s="46" t="s">
        <v>993</v>
      </c>
      <c r="D33" s="63" t="s">
        <v>1005</v>
      </c>
      <c r="E33" s="79">
        <f t="shared" si="2"/>
        <v>111</v>
      </c>
      <c r="F33" s="80">
        <f>ROUND(F32*1.5,0)</f>
        <v>1283</v>
      </c>
      <c r="G33" s="38">
        <f t="shared" si="2"/>
        <v>150</v>
      </c>
      <c r="H33" s="49">
        <f>ROUND(H32*1.5,0)</f>
        <v>1737</v>
      </c>
      <c r="I33" s="40">
        <f t="shared" si="3"/>
        <v>174</v>
      </c>
      <c r="J33" s="53">
        <f t="shared" ref="J33:N33" si="7">ROUND(J32*1.5,0)</f>
        <v>2024</v>
      </c>
      <c r="K33" s="42">
        <f t="shared" si="4"/>
        <v>198</v>
      </c>
      <c r="L33" s="57">
        <f t="shared" si="7"/>
        <v>2304</v>
      </c>
      <c r="M33" s="44">
        <f t="shared" si="6"/>
        <v>253</v>
      </c>
      <c r="N33" s="61">
        <f t="shared" si="7"/>
        <v>2943</v>
      </c>
      <c r="O33" s="23" t="s">
        <v>973</v>
      </c>
    </row>
    <row r="34" spans="2:15" x14ac:dyDescent="0.25">
      <c r="B34" s="12" t="s">
        <v>989</v>
      </c>
      <c r="C34" s="46" t="s">
        <v>994</v>
      </c>
      <c r="D34" s="63" t="s">
        <v>1005</v>
      </c>
      <c r="E34" s="79">
        <f t="shared" si="2"/>
        <v>147</v>
      </c>
      <c r="F34" s="80">
        <f>ROUND(F32*2,0)</f>
        <v>1710</v>
      </c>
      <c r="G34" s="38">
        <f t="shared" si="2"/>
        <v>199</v>
      </c>
      <c r="H34" s="49">
        <f>ROUND(H32*2,0)</f>
        <v>2316</v>
      </c>
      <c r="I34" s="40">
        <f t="shared" si="3"/>
        <v>232</v>
      </c>
      <c r="J34" s="53">
        <f t="shared" ref="J34:N34" si="8">ROUND(J32*2,0)</f>
        <v>2698</v>
      </c>
      <c r="K34" s="42">
        <f t="shared" si="4"/>
        <v>265</v>
      </c>
      <c r="L34" s="57">
        <f t="shared" si="8"/>
        <v>3072</v>
      </c>
      <c r="M34" s="44">
        <f t="shared" si="6"/>
        <v>338</v>
      </c>
      <c r="N34" s="61">
        <f t="shared" si="8"/>
        <v>3924</v>
      </c>
      <c r="O34" s="23" t="s">
        <v>974</v>
      </c>
    </row>
    <row r="35" spans="2:15" x14ac:dyDescent="0.25">
      <c r="B35" s="12" t="s">
        <v>966</v>
      </c>
      <c r="C35" s="46" t="s">
        <v>995</v>
      </c>
      <c r="D35" s="63" t="s">
        <v>1005</v>
      </c>
      <c r="E35" s="79">
        <f t="shared" si="2"/>
        <v>184</v>
      </c>
      <c r="F35" s="80">
        <f>ROUND(F32*2.5,0)</f>
        <v>2138</v>
      </c>
      <c r="G35" s="38">
        <f t="shared" si="2"/>
        <v>249</v>
      </c>
      <c r="H35" s="49">
        <f>ROUND(H32*2.5,0)</f>
        <v>2895</v>
      </c>
      <c r="I35" s="40">
        <f t="shared" si="3"/>
        <v>291</v>
      </c>
      <c r="J35" s="53">
        <f t="shared" ref="J35:N35" si="9">ROUND(J32*2.5,0)</f>
        <v>3373</v>
      </c>
      <c r="K35" s="42">
        <f t="shared" si="4"/>
        <v>331</v>
      </c>
      <c r="L35" s="57">
        <f t="shared" si="9"/>
        <v>3840</v>
      </c>
      <c r="M35" s="44">
        <f t="shared" si="6"/>
        <v>422</v>
      </c>
      <c r="N35" s="61">
        <f t="shared" si="9"/>
        <v>4905</v>
      </c>
      <c r="O35" s="23" t="s">
        <v>975</v>
      </c>
    </row>
    <row r="36" spans="2:15" x14ac:dyDescent="0.25">
      <c r="B36" s="13" t="s">
        <v>990</v>
      </c>
      <c r="C36" s="47" t="s">
        <v>996</v>
      </c>
      <c r="D36" s="65" t="s">
        <v>1005</v>
      </c>
      <c r="E36" s="81">
        <f t="shared" si="2"/>
        <v>221</v>
      </c>
      <c r="F36" s="82">
        <f>ROUND(F32*3,0)</f>
        <v>2565</v>
      </c>
      <c r="G36" s="39">
        <f t="shared" si="2"/>
        <v>299</v>
      </c>
      <c r="H36" s="50">
        <f>ROUND(H32*3,0)</f>
        <v>3474</v>
      </c>
      <c r="I36" s="41">
        <f t="shared" si="3"/>
        <v>349</v>
      </c>
      <c r="J36" s="54">
        <f t="shared" ref="J36:N36" si="10">ROUND(J32*3,0)</f>
        <v>4047</v>
      </c>
      <c r="K36" s="43">
        <f t="shared" si="4"/>
        <v>397</v>
      </c>
      <c r="L36" s="58">
        <f t="shared" si="10"/>
        <v>4608</v>
      </c>
      <c r="M36" s="45">
        <f t="shared" si="6"/>
        <v>507</v>
      </c>
      <c r="N36" s="62">
        <f t="shared" si="10"/>
        <v>5886</v>
      </c>
      <c r="O36" s="25" t="s">
        <v>976</v>
      </c>
    </row>
    <row r="37" spans="2:15" s="74" customFormat="1" ht="12" x14ac:dyDescent="0.2">
      <c r="B37" s="90"/>
      <c r="C37" s="91"/>
      <c r="E37" s="92"/>
      <c r="F37" s="93"/>
      <c r="G37" s="93"/>
      <c r="H37" s="93"/>
      <c r="I37" s="92"/>
      <c r="J37" s="93"/>
      <c r="K37" s="92"/>
      <c r="L37" s="93"/>
      <c r="M37" s="92"/>
      <c r="N37" s="93"/>
      <c r="O37" s="94" t="str">
        <f>VLOOKUP(23,TXT_K,$G$3,0)</f>
        <v>Leistung nach DIN EN 16430</v>
      </c>
    </row>
    <row r="38" spans="2:15" s="74" customFormat="1" ht="12" x14ac:dyDescent="0.2">
      <c r="B38" s="76" t="str">
        <f>VLOOKUP(41,TXT_K,$G$3,0)</f>
        <v>Leistungsdaten mit Abdeckung, Rollrost Typ 941-17-B (f.Q. 70%)</v>
      </c>
      <c r="C38" s="91"/>
      <c r="E38" s="92"/>
      <c r="F38" s="93"/>
      <c r="G38" s="93"/>
      <c r="H38" s="93"/>
      <c r="I38" s="92"/>
      <c r="J38" s="93"/>
      <c r="K38" s="92"/>
      <c r="L38" s="93"/>
      <c r="M38" s="92"/>
      <c r="N38" s="93"/>
      <c r="O38" s="94"/>
    </row>
    <row r="39" spans="2:15" s="74" customFormat="1" ht="12" x14ac:dyDescent="0.2">
      <c r="B39" s="76" t="str">
        <f>VLOOKUP(42,TXT_K,$G$3,0)</f>
        <v>Bei abweichenden Abdeckungen, ist mit einer Leistungsminderung zu rechnen</v>
      </c>
      <c r="C39" s="91"/>
      <c r="E39" s="92"/>
      <c r="F39" s="93"/>
      <c r="G39" s="93"/>
      <c r="H39" s="93"/>
      <c r="I39" s="92"/>
      <c r="J39" s="93"/>
      <c r="K39" s="92"/>
      <c r="L39" s="93"/>
      <c r="M39" s="92"/>
      <c r="N39" s="93"/>
      <c r="O39" s="94"/>
    </row>
    <row r="40" spans="2:15" s="74" customFormat="1" ht="12" x14ac:dyDescent="0.2">
      <c r="B40" s="76" t="str">
        <f>VLOOKUP(28,TXT_K,$G$3,0)</f>
        <v>Minimale Wassermassenströme von ca. 20 kg/h sollen eingehalten werden</v>
      </c>
    </row>
    <row r="41" spans="2:15" ht="9.75" customHeight="1" x14ac:dyDescent="0.25"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2:15" x14ac:dyDescent="0.25">
      <c r="B42" s="75" t="str">
        <f>VLOOKUP(34,TXT_K,$G$3,0)</f>
        <v>T2: Trockene Kühlung - 2-Leiter-System ohne Ablaufstutzen für Kondensat</v>
      </c>
      <c r="C42" s="6"/>
      <c r="D42" s="6"/>
      <c r="E42" s="6"/>
      <c r="F42" s="6"/>
      <c r="G42" s="6"/>
      <c r="H42" s="6"/>
      <c r="I42" s="6"/>
      <c r="J42" s="6"/>
      <c r="K42" s="6"/>
      <c r="M42" s="6"/>
      <c r="N42" s="6"/>
      <c r="O42" s="6"/>
    </row>
    <row r="43" spans="2:15" x14ac:dyDescent="0.25">
      <c r="B43" s="76" t="str">
        <f>VLOOKUP(5,TXT_K,$G$3,0)</f>
        <v>Qt [W]: Kühlleistung gesamt</v>
      </c>
      <c r="C43" s="6"/>
      <c r="D43" s="6"/>
      <c r="E43" s="6"/>
      <c r="F43" s="6"/>
      <c r="G43" s="6"/>
      <c r="H43" s="6"/>
      <c r="I43" s="6"/>
      <c r="M43" s="6"/>
      <c r="N43" s="6"/>
      <c r="O43" s="94" t="str">
        <f>VLOOKUP(26,TXT_K,$G$3,0)</f>
        <v>Querstromventilator Typ EC65  24VDC</v>
      </c>
    </row>
    <row r="44" spans="2:15" x14ac:dyDescent="0.25">
      <c r="B44" s="76" t="str">
        <f>VLOOKUP(6,TXT_K,$G$3,0)</f>
        <v>Qs [W]: Kühlleistung sensibel</v>
      </c>
      <c r="C44" s="6"/>
      <c r="D44" s="6"/>
      <c r="E44" s="6"/>
      <c r="F44" s="6"/>
      <c r="G44" s="6"/>
      <c r="H44" s="6"/>
      <c r="I44" s="6"/>
      <c r="J44" s="6"/>
      <c r="K44" s="6"/>
      <c r="M44" s="6"/>
      <c r="N44" s="6"/>
      <c r="O44" s="98" t="str">
        <f>VLOOKUP(10,TXT_K,$G$3,0)</f>
        <v>M: Anzahl Motoren</v>
      </c>
    </row>
    <row r="45" spans="2:15" x14ac:dyDescent="0.25">
      <c r="B45" s="74" t="str">
        <f>VLOOKUP(38,TXT_K,$G$3,0)</f>
        <v>X: Erweiterung des Bodenkanals um ein Regulierungsmodul zu integrieren</v>
      </c>
      <c r="C45" s="6"/>
      <c r="D45" s="6"/>
      <c r="E45" s="6"/>
      <c r="F45" s="6"/>
      <c r="G45" s="6"/>
      <c r="H45" s="6"/>
      <c r="I45" s="6"/>
      <c r="J45" s="6"/>
      <c r="K45" s="6"/>
      <c r="M45" s="6"/>
      <c r="N45" s="6"/>
      <c r="O45" s="98" t="str">
        <f>VLOOKUP(14,TXT_K,$G$3,0)</f>
        <v>QVw: Anzahl Ventilatoren-Walzen</v>
      </c>
    </row>
    <row r="46" spans="2:15" x14ac:dyDescent="0.25">
      <c r="B46" s="74" t="str">
        <f>VLOOKUP(33,TXT_K,$G$3,0)</f>
        <v>Die Zwischenlängen werden durch Leerstücke angepasst.</v>
      </c>
      <c r="C46" s="6"/>
      <c r="D46" s="6"/>
      <c r="E46" s="6"/>
      <c r="F46" s="6"/>
      <c r="G46" s="6"/>
      <c r="H46" s="6"/>
      <c r="I46" s="6"/>
      <c r="J46" s="6"/>
      <c r="K46" s="6"/>
      <c r="M46" s="6"/>
      <c r="N46" s="6"/>
      <c r="O46" s="98" t="str">
        <f>VLOOKUP(15,TXT_K,$G$3,0)</f>
        <v>ṁ: Wassermassenstrom [kg/h]</v>
      </c>
    </row>
    <row r="47" spans="2:15" x14ac:dyDescent="0.25">
      <c r="B47" s="74" t="str">
        <f>VLOOKUP(29,TXT_K,$G$3,0)</f>
        <v>Bei Veränderungen der Standardteile können Abweichungen entstehen</v>
      </c>
    </row>
    <row r="48" spans="2:15" x14ac:dyDescent="0.25"/>
    <row r="49" spans="15:15" x14ac:dyDescent="0.25"/>
    <row r="50" spans="15:15" x14ac:dyDescent="0.25"/>
    <row r="51" spans="15:15" x14ac:dyDescent="0.25"/>
    <row r="52" spans="15:15" x14ac:dyDescent="0.25"/>
    <row r="53" spans="15:15" x14ac:dyDescent="0.25"/>
    <row r="54" spans="15:15" x14ac:dyDescent="0.25">
      <c r="O54" s="73" t="s">
        <v>1050</v>
      </c>
    </row>
    <row r="55" spans="15:15" x14ac:dyDescent="0.25"/>
  </sheetData>
  <sheetProtection algorithmName="SHA-512" hashValue="LkHYkcCK0p2VpjsbnphAUhICq0Jkf87iaXk4UWbDJU/rrta9+IWdgi84WNUP01VOnM6CLpM0uAtGQz8I8nB7Wg==" saltValue="0SBL0kLYI2ThAosH5ovIVw==" spinCount="100000" sheet="1" objects="1" scenarios="1" selectLockedCells="1"/>
  <protectedRanges>
    <protectedRange sqref="C3:H5" name="Bereich1"/>
  </protectedRanges>
  <mergeCells count="32">
    <mergeCell ref="G2:H2"/>
    <mergeCell ref="G3:H5"/>
    <mergeCell ref="C2:D2"/>
    <mergeCell ref="C3:D3"/>
    <mergeCell ref="C4:D4"/>
    <mergeCell ref="C5:D5"/>
    <mergeCell ref="E2:F2"/>
    <mergeCell ref="E3:F3"/>
    <mergeCell ref="E4:F4"/>
    <mergeCell ref="E5:F5"/>
    <mergeCell ref="F28:N28"/>
    <mergeCell ref="E30:N30"/>
    <mergeCell ref="B20:B21"/>
    <mergeCell ref="C20:C21"/>
    <mergeCell ref="O20:O21"/>
    <mergeCell ref="B22:B23"/>
    <mergeCell ref="C22:C23"/>
    <mergeCell ref="O22:O23"/>
    <mergeCell ref="B16:B17"/>
    <mergeCell ref="C16:C17"/>
    <mergeCell ref="O16:O17"/>
    <mergeCell ref="B18:B19"/>
    <mergeCell ref="C18:C19"/>
    <mergeCell ref="O18:O19"/>
    <mergeCell ref="B14:B15"/>
    <mergeCell ref="C14:C15"/>
    <mergeCell ref="O14:O15"/>
    <mergeCell ref="F9:N9"/>
    <mergeCell ref="E11:N11"/>
    <mergeCell ref="B12:B13"/>
    <mergeCell ref="C12:C13"/>
    <mergeCell ref="O12:O13"/>
  </mergeCells>
  <conditionalFormatting sqref="C3:D5">
    <cfRule type="expression" dxfId="229" priority="2">
      <formula>$J$3&lt;&gt;""</formula>
    </cfRule>
  </conditionalFormatting>
  <conditionalFormatting sqref="E2:F5">
    <cfRule type="expression" dxfId="228" priority="1">
      <formula>$J$4&lt;&gt;""</formula>
    </cfRule>
  </conditionalFormatting>
  <dataValidations count="7">
    <dataValidation type="whole" allowBlank="1" showInputMessage="1" showErrorMessage="1" sqref="C3:D3" xr:uid="{FF513970-4552-4C8B-8289-12F828EF7C29}">
      <formula1>30</formula1>
      <formula2>90</formula2>
    </dataValidation>
    <dataValidation type="whole" allowBlank="1" showInputMessage="1" showErrorMessage="1" sqref="C4:D4" xr:uid="{F3FFFFEA-EE1B-4723-AED3-2E9BD5FAFDB0}">
      <formula1>25</formula1>
      <formula2>85</formula2>
    </dataValidation>
    <dataValidation type="whole" allowBlank="1" showInputMessage="1" showErrorMessage="1" sqref="C5:D5" xr:uid="{3C7952CA-E4D0-4359-8C46-E6D711D5AD32}">
      <formula1>15</formula1>
      <formula2>29</formula2>
    </dataValidation>
    <dataValidation type="whole" allowBlank="1" showInputMessage="1" showErrorMessage="1" sqref="E3:F3" xr:uid="{0690CF1D-3D98-4D3A-85BA-BE5F999396B0}">
      <formula1>4</formula1>
      <formula2>20</formula2>
    </dataValidation>
    <dataValidation type="whole" allowBlank="1" showInputMessage="1" showErrorMessage="1" sqref="E4:F4" xr:uid="{3005290D-97CE-4B0A-AA51-95FEE2E8742A}">
      <formula1>6</formula1>
      <formula2>24</formula2>
    </dataValidation>
    <dataValidation type="whole" allowBlank="1" showInputMessage="1" showErrorMessage="1" sqref="E5:F5" xr:uid="{D941BC1B-690B-4E6E-8FEE-F0666FD54503}">
      <formula1>20</formula1>
      <formula2>30</formula2>
    </dataValidation>
    <dataValidation type="whole" allowBlank="1" showInputMessage="1" showErrorMessage="1" sqref="G3:H5" xr:uid="{21D4AFC5-E661-4F4F-BB15-96F08DC9F6D4}">
      <formula1>2</formula1>
      <formula2>3</formula2>
    </dataValidation>
  </dataValidations>
  <pageMargins left="0.51181102362204722" right="0.31496062992125984" top="0.94488188976377963" bottom="0.55118110236220474" header="0.31496062992125984" footer="0.11811023622047245"/>
  <pageSetup paperSize="9" orientation="portrait" r:id="rId1"/>
  <headerFooter>
    <oddHeader>&amp;C&amp;G</oddHeader>
    <oddFooter>&amp;C&amp;G</oddFooter>
  </headerFooter>
  <ignoredErrors>
    <ignoredError sqref="E12:N36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" id="{6444A4EC-03CF-4387-9A7A-DECC30A953B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E12</xm:sqref>
        </x14:conditionalFormatting>
        <x14:conditionalFormatting xmlns:xm="http://schemas.microsoft.com/office/excel/2006/main">
          <x14:cfRule type="iconSet" priority="64" id="{9C8EC027-DE06-45EA-B3C1-B0F748743F7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E14</xm:sqref>
        </x14:conditionalFormatting>
        <x14:conditionalFormatting xmlns:xm="http://schemas.microsoft.com/office/excel/2006/main">
          <x14:cfRule type="iconSet" priority="63" id="{7F1669BE-05A6-4F2D-90EA-0574DC2E376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E16</xm:sqref>
        </x14:conditionalFormatting>
        <x14:conditionalFormatting xmlns:xm="http://schemas.microsoft.com/office/excel/2006/main">
          <x14:cfRule type="iconSet" priority="62" id="{2BCF2290-420F-4162-BAAF-9D1732EF406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</xm:sqref>
        </x14:conditionalFormatting>
        <x14:conditionalFormatting xmlns:xm="http://schemas.microsoft.com/office/excel/2006/main">
          <x14:cfRule type="iconSet" priority="61" id="{297B5F4D-C8A1-4B4B-9931-B6E3574DD15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</xm:sqref>
        </x14:conditionalFormatting>
        <x14:conditionalFormatting xmlns:xm="http://schemas.microsoft.com/office/excel/2006/main">
          <x14:cfRule type="iconSet" priority="60" id="{09E4BDA4-7F33-447C-8203-EE4E9C6C8B0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</xm:sqref>
        </x14:conditionalFormatting>
        <x14:conditionalFormatting xmlns:xm="http://schemas.microsoft.com/office/excel/2006/main">
          <x14:cfRule type="iconSet" priority="41" id="{3B842EBF-70E8-4253-9E59-FEA4E60E291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E31</xm:sqref>
        </x14:conditionalFormatting>
        <x14:conditionalFormatting xmlns:xm="http://schemas.microsoft.com/office/excel/2006/main">
          <x14:cfRule type="iconSet" priority="40" id="{AE588B93-BF59-44C2-8045-DC3CE2ADF12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</xm:sqref>
        </x14:conditionalFormatting>
        <x14:conditionalFormatting xmlns:xm="http://schemas.microsoft.com/office/excel/2006/main">
          <x14:cfRule type="iconSet" priority="39" id="{49AE0C7E-2579-4FDD-A5F0-713E0D85E24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E33</xm:sqref>
        </x14:conditionalFormatting>
        <x14:conditionalFormatting xmlns:xm="http://schemas.microsoft.com/office/excel/2006/main">
          <x14:cfRule type="iconSet" priority="38" id="{F837373A-20E4-4D63-8B26-59E0C25C181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</xm:sqref>
        </x14:conditionalFormatting>
        <x14:conditionalFormatting xmlns:xm="http://schemas.microsoft.com/office/excel/2006/main">
          <x14:cfRule type="iconSet" priority="37" id="{D2503A74-B830-4D14-B7C5-41166D0A9D1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E35</xm:sqref>
        </x14:conditionalFormatting>
        <x14:conditionalFormatting xmlns:xm="http://schemas.microsoft.com/office/excel/2006/main">
          <x14:cfRule type="iconSet" priority="36" id="{DEE5BF5A-B848-4863-8CA7-C820C7AE02E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E36:E39</xm:sqref>
        </x14:conditionalFormatting>
        <x14:conditionalFormatting xmlns:xm="http://schemas.microsoft.com/office/excel/2006/main">
          <x14:cfRule type="iconSet" priority="14" id="{4038DEDE-781A-4864-B9BB-EF735F462E0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G12</xm:sqref>
        </x14:conditionalFormatting>
        <x14:conditionalFormatting xmlns:xm="http://schemas.microsoft.com/office/excel/2006/main">
          <x14:cfRule type="iconSet" priority="13" id="{EB1FFCFF-E77E-4BDF-80BC-0DE2EF7857B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G14</xm:sqref>
        </x14:conditionalFormatting>
        <x14:conditionalFormatting xmlns:xm="http://schemas.microsoft.com/office/excel/2006/main">
          <x14:cfRule type="iconSet" priority="12" id="{90E0FF12-5C2C-4D18-857B-5410EBF52FE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G16</xm:sqref>
        </x14:conditionalFormatting>
        <x14:conditionalFormatting xmlns:xm="http://schemas.microsoft.com/office/excel/2006/main">
          <x14:cfRule type="iconSet" priority="11" id="{5A14D411-8CD7-4EB1-841E-2E5C6B772D1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G18</xm:sqref>
        </x14:conditionalFormatting>
        <x14:conditionalFormatting xmlns:xm="http://schemas.microsoft.com/office/excel/2006/main">
          <x14:cfRule type="iconSet" priority="10" id="{2380C674-CC92-4C2F-B74E-76FA4B75C36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G20</xm:sqref>
        </x14:conditionalFormatting>
        <x14:conditionalFormatting xmlns:xm="http://schemas.microsoft.com/office/excel/2006/main">
          <x14:cfRule type="iconSet" priority="9" id="{CE0E22D4-3AC7-42B8-8B30-BA1A7FB9EC3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G22</xm:sqref>
        </x14:conditionalFormatting>
        <x14:conditionalFormatting xmlns:xm="http://schemas.microsoft.com/office/excel/2006/main">
          <x14:cfRule type="iconSet" priority="8" id="{85C68880-0C72-4EC2-B95B-3EDEBC14C32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G31</xm:sqref>
        </x14:conditionalFormatting>
        <x14:conditionalFormatting xmlns:xm="http://schemas.microsoft.com/office/excel/2006/main">
          <x14:cfRule type="iconSet" priority="7" id="{8B86A6F9-6B4F-443A-8DFB-AD2AD9365E8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G32</xm:sqref>
        </x14:conditionalFormatting>
        <x14:conditionalFormatting xmlns:xm="http://schemas.microsoft.com/office/excel/2006/main">
          <x14:cfRule type="iconSet" priority="6" id="{2AE12667-B154-4548-91BB-0EB84484709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G33</xm:sqref>
        </x14:conditionalFormatting>
        <x14:conditionalFormatting xmlns:xm="http://schemas.microsoft.com/office/excel/2006/main">
          <x14:cfRule type="iconSet" priority="5" id="{ACBD1EFC-9022-47E4-95C1-7A451A19E02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G34</xm:sqref>
        </x14:conditionalFormatting>
        <x14:conditionalFormatting xmlns:xm="http://schemas.microsoft.com/office/excel/2006/main">
          <x14:cfRule type="iconSet" priority="4" id="{57B20DB5-5B8E-4A0E-A0C7-330DD681295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G35</xm:sqref>
        </x14:conditionalFormatting>
        <x14:conditionalFormatting xmlns:xm="http://schemas.microsoft.com/office/excel/2006/main">
          <x14:cfRule type="iconSet" priority="3" id="{22B4DD13-92D3-4EFC-84B0-884954F6118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G36</xm:sqref>
        </x14:conditionalFormatting>
        <x14:conditionalFormatting xmlns:xm="http://schemas.microsoft.com/office/excel/2006/main">
          <x14:cfRule type="iconSet" priority="59" id="{A2ABE1F1-6280-438E-B13C-7C40EE8D8E5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I12</xm:sqref>
        </x14:conditionalFormatting>
        <x14:conditionalFormatting xmlns:xm="http://schemas.microsoft.com/office/excel/2006/main">
          <x14:cfRule type="iconSet" priority="58" id="{E586D5C6-0383-4317-B51A-406AF32B4D8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I14</xm:sqref>
        </x14:conditionalFormatting>
        <x14:conditionalFormatting xmlns:xm="http://schemas.microsoft.com/office/excel/2006/main">
          <x14:cfRule type="iconSet" priority="57" id="{79305E9B-E6A9-4F61-BCD4-5C1841DB813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56" id="{DD17F68F-8648-4611-85B6-819ABCE2598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I18</xm:sqref>
        </x14:conditionalFormatting>
        <x14:conditionalFormatting xmlns:xm="http://schemas.microsoft.com/office/excel/2006/main">
          <x14:cfRule type="iconSet" priority="55" id="{05B93557-3BC0-4EEE-8CD7-D1DD6021DA8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I20</xm:sqref>
        </x14:conditionalFormatting>
        <x14:conditionalFormatting xmlns:xm="http://schemas.microsoft.com/office/excel/2006/main">
          <x14:cfRule type="iconSet" priority="54" id="{2F19B03A-A898-4FDE-BC33-20B3810C55F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I22</xm:sqref>
        </x14:conditionalFormatting>
        <x14:conditionalFormatting xmlns:xm="http://schemas.microsoft.com/office/excel/2006/main">
          <x14:cfRule type="iconSet" priority="35" id="{7D5260E1-1D63-46BC-94CD-2BFF21CC025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I31</xm:sqref>
        </x14:conditionalFormatting>
        <x14:conditionalFormatting xmlns:xm="http://schemas.microsoft.com/office/excel/2006/main">
          <x14:cfRule type="iconSet" priority="34" id="{1F772C63-32A9-4B1B-900B-47B4484D30A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I32</xm:sqref>
        </x14:conditionalFormatting>
        <x14:conditionalFormatting xmlns:xm="http://schemas.microsoft.com/office/excel/2006/main">
          <x14:cfRule type="iconSet" priority="33" id="{D073B3C4-2D36-40A7-A6A2-47785152729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I33</xm:sqref>
        </x14:conditionalFormatting>
        <x14:conditionalFormatting xmlns:xm="http://schemas.microsoft.com/office/excel/2006/main">
          <x14:cfRule type="iconSet" priority="32" id="{A58B7111-5E2F-4EEC-97C2-4768E358DCD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I34</xm:sqref>
        </x14:conditionalFormatting>
        <x14:conditionalFormatting xmlns:xm="http://schemas.microsoft.com/office/excel/2006/main">
          <x14:cfRule type="iconSet" priority="31" id="{4D063379-5463-4B2D-B7AF-195F584B4C0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I35</xm:sqref>
        </x14:conditionalFormatting>
        <x14:conditionalFormatting xmlns:xm="http://schemas.microsoft.com/office/excel/2006/main">
          <x14:cfRule type="iconSet" priority="30" id="{4F574246-DD79-4DD1-B78A-665E918BB8F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I36</xm:sqref>
        </x14:conditionalFormatting>
        <x14:conditionalFormatting xmlns:xm="http://schemas.microsoft.com/office/excel/2006/main">
          <x14:cfRule type="iconSet" priority="17" id="{227BC8FD-2547-4A2C-B354-8D88651E59A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I37:I39</xm:sqref>
        </x14:conditionalFormatting>
        <x14:conditionalFormatting xmlns:xm="http://schemas.microsoft.com/office/excel/2006/main">
          <x14:cfRule type="iconSet" priority="53" id="{0E6E5E41-9081-4C20-92C7-4432251CEDF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K12</xm:sqref>
        </x14:conditionalFormatting>
        <x14:conditionalFormatting xmlns:xm="http://schemas.microsoft.com/office/excel/2006/main">
          <x14:cfRule type="iconSet" priority="52" id="{A9FB7385-4433-4FF0-9599-50718C37374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K14</xm:sqref>
        </x14:conditionalFormatting>
        <x14:conditionalFormatting xmlns:xm="http://schemas.microsoft.com/office/excel/2006/main">
          <x14:cfRule type="iconSet" priority="51" id="{0B378580-D34E-4EAC-875C-7F50CF276AC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K16</xm:sqref>
        </x14:conditionalFormatting>
        <x14:conditionalFormatting xmlns:xm="http://schemas.microsoft.com/office/excel/2006/main">
          <x14:cfRule type="iconSet" priority="50" id="{EC575E65-E3B9-402E-AA5E-A4EEFC32452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K18</xm:sqref>
        </x14:conditionalFormatting>
        <x14:conditionalFormatting xmlns:xm="http://schemas.microsoft.com/office/excel/2006/main">
          <x14:cfRule type="iconSet" priority="49" id="{D940DAE7-4488-4588-98A9-6177CE81AE5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K20</xm:sqref>
        </x14:conditionalFormatting>
        <x14:conditionalFormatting xmlns:xm="http://schemas.microsoft.com/office/excel/2006/main">
          <x14:cfRule type="iconSet" priority="48" id="{58B88D3A-2B4E-4DF2-9D73-7EAA1ECA1E3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K22</xm:sqref>
        </x14:conditionalFormatting>
        <x14:conditionalFormatting xmlns:xm="http://schemas.microsoft.com/office/excel/2006/main">
          <x14:cfRule type="iconSet" priority="29" id="{442F6304-55EA-4DBC-976C-90CD23B5B3A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K31</xm:sqref>
        </x14:conditionalFormatting>
        <x14:conditionalFormatting xmlns:xm="http://schemas.microsoft.com/office/excel/2006/main">
          <x14:cfRule type="iconSet" priority="28" id="{700829B1-4D60-43B9-BD1A-4EFC09DAC0D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K32</xm:sqref>
        </x14:conditionalFormatting>
        <x14:conditionalFormatting xmlns:xm="http://schemas.microsoft.com/office/excel/2006/main">
          <x14:cfRule type="iconSet" priority="27" id="{975EB946-5AA4-4A88-88E9-111B29D2627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K33</xm:sqref>
        </x14:conditionalFormatting>
        <x14:conditionalFormatting xmlns:xm="http://schemas.microsoft.com/office/excel/2006/main">
          <x14:cfRule type="iconSet" priority="26" id="{F58214BC-4ECA-49FA-8BB2-17620833CF6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K34</xm:sqref>
        </x14:conditionalFormatting>
        <x14:conditionalFormatting xmlns:xm="http://schemas.microsoft.com/office/excel/2006/main">
          <x14:cfRule type="iconSet" priority="25" id="{162A841B-90D3-4798-B9AF-8A99C893ACF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K35</xm:sqref>
        </x14:conditionalFormatting>
        <x14:conditionalFormatting xmlns:xm="http://schemas.microsoft.com/office/excel/2006/main">
          <x14:cfRule type="iconSet" priority="24" id="{C6BFC982-55B1-4639-9D7A-C7FB897CC1F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K36</xm:sqref>
        </x14:conditionalFormatting>
        <x14:conditionalFormatting xmlns:xm="http://schemas.microsoft.com/office/excel/2006/main">
          <x14:cfRule type="iconSet" priority="16" id="{7C3D8E86-F235-447C-A539-ED0CA956313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K37:K39</xm:sqref>
        </x14:conditionalFormatting>
        <x14:conditionalFormatting xmlns:xm="http://schemas.microsoft.com/office/excel/2006/main">
          <x14:cfRule type="iconSet" priority="47" id="{97D27DEC-9ED9-4452-97EF-CCFAEF011F9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M12</xm:sqref>
        </x14:conditionalFormatting>
        <x14:conditionalFormatting xmlns:xm="http://schemas.microsoft.com/office/excel/2006/main">
          <x14:cfRule type="iconSet" priority="46" id="{C65D0FEB-03AC-4847-8A57-78B0446363B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M14</xm:sqref>
        </x14:conditionalFormatting>
        <x14:conditionalFormatting xmlns:xm="http://schemas.microsoft.com/office/excel/2006/main">
          <x14:cfRule type="iconSet" priority="45" id="{20BF1820-35EE-4165-B48D-82F555659C5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M16</xm:sqref>
        </x14:conditionalFormatting>
        <x14:conditionalFormatting xmlns:xm="http://schemas.microsoft.com/office/excel/2006/main">
          <x14:cfRule type="iconSet" priority="44" id="{4728848B-B177-4DF1-B8F9-9BD4879B1D5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M18</xm:sqref>
        </x14:conditionalFormatting>
        <x14:conditionalFormatting xmlns:xm="http://schemas.microsoft.com/office/excel/2006/main">
          <x14:cfRule type="iconSet" priority="43" id="{C59CFC5B-D5BF-4127-9EE7-E52F6E7D0CE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M20</xm:sqref>
        </x14:conditionalFormatting>
        <x14:conditionalFormatting xmlns:xm="http://schemas.microsoft.com/office/excel/2006/main">
          <x14:cfRule type="iconSet" priority="42" id="{CD35F71B-7862-4E53-BDF5-298B33B11F0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M22</xm:sqref>
        </x14:conditionalFormatting>
        <x14:conditionalFormatting xmlns:xm="http://schemas.microsoft.com/office/excel/2006/main">
          <x14:cfRule type="iconSet" priority="23" id="{A72213DE-D9E1-491E-B4AA-9287C2691CB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M31</xm:sqref>
        </x14:conditionalFormatting>
        <x14:conditionalFormatting xmlns:xm="http://schemas.microsoft.com/office/excel/2006/main">
          <x14:cfRule type="iconSet" priority="22" id="{DACE863A-3BCF-4E29-80D9-3D4683061BB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M32</xm:sqref>
        </x14:conditionalFormatting>
        <x14:conditionalFormatting xmlns:xm="http://schemas.microsoft.com/office/excel/2006/main">
          <x14:cfRule type="iconSet" priority="21" id="{C33DDDD6-C5A2-4562-BD8E-ED7EF645773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M33</xm:sqref>
        </x14:conditionalFormatting>
        <x14:conditionalFormatting xmlns:xm="http://schemas.microsoft.com/office/excel/2006/main">
          <x14:cfRule type="iconSet" priority="20" id="{D6090658-FF07-4D10-8D73-798327395FD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M34</xm:sqref>
        </x14:conditionalFormatting>
        <x14:conditionalFormatting xmlns:xm="http://schemas.microsoft.com/office/excel/2006/main">
          <x14:cfRule type="iconSet" priority="19" id="{BFC0C877-EF44-4535-842E-E60352D4370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M35</xm:sqref>
        </x14:conditionalFormatting>
        <x14:conditionalFormatting xmlns:xm="http://schemas.microsoft.com/office/excel/2006/main">
          <x14:cfRule type="iconSet" priority="18" id="{2307DDFB-EC8C-4015-84F0-4F98D048319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M36</xm:sqref>
        </x14:conditionalFormatting>
        <x14:conditionalFormatting xmlns:xm="http://schemas.microsoft.com/office/excel/2006/main">
          <x14:cfRule type="iconSet" priority="15" id="{047CCC36-791C-494D-B229-A91E8F06866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M37:M39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5"/>
  <sheetViews>
    <sheetView showGridLines="0" showRowColHeaders="0" workbookViewId="0">
      <selection activeCell="D3" sqref="D3:E3"/>
    </sheetView>
  </sheetViews>
  <sheetFormatPr baseColWidth="10" defaultColWidth="0" defaultRowHeight="15" zeroHeight="1" x14ac:dyDescent="0.25"/>
  <cols>
    <col min="1" max="1" width="3.28515625" customWidth="1"/>
    <col min="2" max="2" width="9.42578125" customWidth="1"/>
    <col min="3" max="3" width="6.28515625" customWidth="1"/>
    <col min="4" max="4" width="5" customWidth="1"/>
    <col min="5" max="5" width="7.28515625" customWidth="1"/>
    <col min="6" max="6" width="6.28515625" customWidth="1"/>
    <col min="7" max="7" width="7.28515625" customWidth="1"/>
    <col min="8" max="8" width="6.28515625" customWidth="1"/>
    <col min="9" max="9" width="7.28515625" customWidth="1"/>
    <col min="10" max="10" width="6.28515625" customWidth="1"/>
    <col min="11" max="11" width="7.28515625" customWidth="1"/>
    <col min="12" max="12" width="6.28515625" customWidth="1"/>
    <col min="13" max="13" width="7.28515625" customWidth="1"/>
    <col min="14" max="14" width="6.28515625" customWidth="1"/>
    <col min="15" max="15" width="5.28515625" customWidth="1"/>
    <col min="16" max="16" width="3.28515625" customWidth="1"/>
    <col min="17" max="16384" width="11.42578125" hidden="1"/>
  </cols>
  <sheetData>
    <row r="1" spans="2:15" x14ac:dyDescent="0.25"/>
    <row r="2" spans="2:15" x14ac:dyDescent="0.25">
      <c r="C2" s="416" t="s">
        <v>936</v>
      </c>
      <c r="D2" s="416"/>
      <c r="E2" s="417" t="s">
        <v>937</v>
      </c>
      <c r="F2" s="417"/>
      <c r="G2" s="413" t="s">
        <v>938</v>
      </c>
      <c r="H2" s="413"/>
    </row>
    <row r="3" spans="2:15" ht="23.25" x14ac:dyDescent="0.35">
      <c r="B3" s="286" t="s">
        <v>933</v>
      </c>
      <c r="C3" s="415">
        <v>50</v>
      </c>
      <c r="D3" s="415"/>
      <c r="E3" s="418">
        <v>12</v>
      </c>
      <c r="F3" s="418"/>
      <c r="G3" s="414">
        <v>2</v>
      </c>
      <c r="H3" s="414"/>
      <c r="J3" s="284" t="str">
        <f>IF(OR((C3-C4)&lt;3,(C4-C5)&lt;3,(C3-C4)&gt;25,C5&lt;15,ISERROR(F31)),"Bitte überprüfen Sie ihre Eingaben!","")</f>
        <v/>
      </c>
    </row>
    <row r="4" spans="2:15" ht="23.25" x14ac:dyDescent="0.35">
      <c r="B4" s="286" t="s">
        <v>934</v>
      </c>
      <c r="C4" s="415">
        <v>40</v>
      </c>
      <c r="D4" s="415"/>
      <c r="E4" s="418">
        <v>16</v>
      </c>
      <c r="F4" s="418"/>
      <c r="G4" s="414"/>
      <c r="H4" s="414"/>
      <c r="J4" s="284" t="str">
        <f>IF(ISERROR(F12),"Bitte überprüfen Sie ihre Eingaben!","")</f>
        <v/>
      </c>
    </row>
    <row r="5" spans="2:15" ht="23.25" x14ac:dyDescent="0.35">
      <c r="B5" s="286" t="s">
        <v>935</v>
      </c>
      <c r="C5" s="415">
        <v>20</v>
      </c>
      <c r="D5" s="415"/>
      <c r="E5" s="418">
        <v>27</v>
      </c>
      <c r="F5" s="418"/>
      <c r="G5" s="414"/>
      <c r="H5" s="414"/>
    </row>
    <row r="6" spans="2:15" x14ac:dyDescent="0.25"/>
    <row r="7" spans="2:15" ht="21" x14ac:dyDescent="0.35">
      <c r="B7" s="19" t="str">
        <f>VLOOKUP(1,TXT_K,$G$3,0)</f>
        <v>Kühlmedium  (PKW)</v>
      </c>
      <c r="C7" s="19"/>
      <c r="D7" s="19"/>
      <c r="E7" s="19"/>
      <c r="F7" s="20" t="str">
        <f>CONCATENATE(E3,"°C"," / ",E4,"°C")</f>
        <v>12°C / 16°C</v>
      </c>
      <c r="G7" s="20"/>
      <c r="H7" s="20"/>
      <c r="I7" s="20"/>
      <c r="J7" s="19"/>
      <c r="K7" s="19"/>
      <c r="L7" s="19"/>
      <c r="M7" s="21" t="str">
        <f>VLOOKUP(8,TXT_K,$G$3,0)</f>
        <v>Raumtemperatur</v>
      </c>
      <c r="N7" s="21"/>
      <c r="O7" s="22" t="str">
        <f>CONCATENATE("+",E5,"°C")</f>
        <v>+27°C</v>
      </c>
    </row>
    <row r="8" spans="2:15" s="74" customFormat="1" ht="12" x14ac:dyDescent="0.2"/>
    <row r="9" spans="2:15" s="74" customFormat="1" ht="12" x14ac:dyDescent="0.2">
      <c r="B9" s="74" t="str">
        <f>VLOOKUP(2,TXT_K,$G$3,0)</f>
        <v>Modell</v>
      </c>
      <c r="F9" s="422" t="str">
        <f>VLOOKUP(7,TXT_K,$G$3,0)</f>
        <v>Leistungsprozent</v>
      </c>
      <c r="G9" s="422"/>
      <c r="H9" s="422"/>
      <c r="I9" s="422"/>
      <c r="J9" s="422"/>
      <c r="K9" s="422"/>
      <c r="L9" s="422"/>
      <c r="M9" s="422"/>
      <c r="N9" s="422"/>
    </row>
    <row r="10" spans="2:15" ht="21" x14ac:dyDescent="0.35">
      <c r="B10" s="14" t="s">
        <v>1026</v>
      </c>
      <c r="E10" s="72"/>
      <c r="F10" s="71">
        <v>0.3</v>
      </c>
      <c r="G10" s="3"/>
      <c r="H10" s="3">
        <v>0.4</v>
      </c>
      <c r="I10" s="2"/>
      <c r="J10" s="2">
        <v>0.5</v>
      </c>
      <c r="K10" s="1"/>
      <c r="L10" s="1">
        <v>0.6</v>
      </c>
      <c r="M10" s="4"/>
      <c r="N10" s="4">
        <v>1</v>
      </c>
      <c r="O10" s="6"/>
    </row>
    <row r="11" spans="2:15" s="74" customFormat="1" ht="28.5" customHeight="1" x14ac:dyDescent="0.2">
      <c r="B11" s="85" t="str">
        <f>VLOOKUP(3,TXT_K,$G$3,0)</f>
        <v>Wanne  Bk [mm]</v>
      </c>
      <c r="C11" s="85" t="str">
        <f>VLOOKUP(4,TXT_K,$G$3,0)</f>
        <v>Element He [mm]</v>
      </c>
      <c r="E11" s="421" t="str">
        <f>VLOOKUP(20,TXT_K,$G$3,0)</f>
        <v>Kühlleistung [W]</v>
      </c>
      <c r="F11" s="421"/>
      <c r="G11" s="421"/>
      <c r="H11" s="421"/>
      <c r="I11" s="421"/>
      <c r="J11" s="421"/>
      <c r="K11" s="421"/>
      <c r="L11" s="421"/>
      <c r="M11" s="421"/>
      <c r="N11" s="421"/>
      <c r="O11" s="66" t="s">
        <v>970</v>
      </c>
    </row>
    <row r="12" spans="2:15" x14ac:dyDescent="0.25">
      <c r="B12" s="423" t="s">
        <v>964</v>
      </c>
      <c r="C12" s="425" t="s">
        <v>991</v>
      </c>
      <c r="D12" s="63" t="s">
        <v>1005</v>
      </c>
      <c r="E12" s="67">
        <f>ROUND(F12/(($E$4-$E$3)*1.161),0)</f>
        <v>31</v>
      </c>
      <c r="F12" s="68">
        <f>ROUND(F$14*0.5,0)</f>
        <v>142</v>
      </c>
      <c r="G12" s="30">
        <f>ROUND(H12/(($E$4-$E$3)*1.161),0)</f>
        <v>45</v>
      </c>
      <c r="H12" s="48">
        <f>ROUND(H$14*0.5,0)</f>
        <v>208</v>
      </c>
      <c r="I12" s="32">
        <f>ROUND(J12/(($E$4-$E$3)*1.161),0)</f>
        <v>56</v>
      </c>
      <c r="J12" s="51">
        <f>ROUND(J$14*0.51,0)</f>
        <v>259</v>
      </c>
      <c r="K12" s="34">
        <f>ROUND(L12/(($E$4-$E$3)*1.161),0)</f>
        <v>66</v>
      </c>
      <c r="L12" s="55">
        <f>ROUND(L$14*0.51,0)</f>
        <v>305</v>
      </c>
      <c r="M12" s="36">
        <f>ROUND(N12/(($E$4-$E$3)*1.161),0)</f>
        <v>95</v>
      </c>
      <c r="N12" s="59">
        <f>ROUND(N$14*0.52,0)</f>
        <v>442</v>
      </c>
      <c r="O12" s="419" t="s">
        <v>971</v>
      </c>
    </row>
    <row r="13" spans="2:15" x14ac:dyDescent="0.25">
      <c r="B13" s="424"/>
      <c r="C13" s="426"/>
      <c r="D13" s="64" t="s">
        <v>1006</v>
      </c>
      <c r="E13" s="69"/>
      <c r="F13" s="70">
        <f>ROUND(F$15*0.5,0)</f>
        <v>142</v>
      </c>
      <c r="G13" s="31"/>
      <c r="H13" s="29">
        <f>ROUND(H$15*0.5,0)</f>
        <v>208</v>
      </c>
      <c r="I13" s="33"/>
      <c r="J13" s="52">
        <f>ROUND(J$15*0.51,0)</f>
        <v>259</v>
      </c>
      <c r="K13" s="35"/>
      <c r="L13" s="56">
        <f>ROUND(L$15*0.51,0)</f>
        <v>305</v>
      </c>
      <c r="M13" s="37"/>
      <c r="N13" s="60">
        <f>ROUND(N$15*0.52,0)</f>
        <v>442</v>
      </c>
      <c r="O13" s="420"/>
    </row>
    <row r="14" spans="2:15" x14ac:dyDescent="0.25">
      <c r="B14" s="423" t="s">
        <v>988</v>
      </c>
      <c r="C14" s="425" t="s">
        <v>992</v>
      </c>
      <c r="D14" s="63" t="s">
        <v>1005</v>
      </c>
      <c r="E14" s="67">
        <f>ROUND(F14/(($E$4-$E$3)*1.161),0)</f>
        <v>61</v>
      </c>
      <c r="F14" s="68">
        <f>ROUND(SUM(VLOOKUP(CONCATENATE(E3,"-",E4,"-",E5),LEISTUNGEN_K,7,0)*1.02),0)</f>
        <v>283</v>
      </c>
      <c r="G14" s="30">
        <f>ROUND(H14/(($E$4-$E$3)*1.161),0)</f>
        <v>90</v>
      </c>
      <c r="H14" s="48">
        <f>ROUND(SUM(VLOOKUP(CONCATENATE(E3,"-",E4,"-",E5),LEISTUNGEN_K,6,0)*1.03),0)</f>
        <v>416</v>
      </c>
      <c r="I14" s="32">
        <f>ROUND(J14/(($E$4-$E$3)*1.161),0)</f>
        <v>109</v>
      </c>
      <c r="J14" s="51">
        <f>ROUND(SUM(VLOOKUP(CONCATENATE(E3,"-",E4,"-",E5),LEISTUNGEN_K,5,0)*1.035),0)</f>
        <v>508</v>
      </c>
      <c r="K14" s="34">
        <f>ROUND(L14/(($E$4-$E$3)*1.161),0)</f>
        <v>129</v>
      </c>
      <c r="L14" s="55">
        <f>ROUND(SUM(VLOOKUP(CONCATENATE(E3,"-",E4,"-",E5),LEISTUNGEN_K,4,0)*1.037),0)</f>
        <v>599</v>
      </c>
      <c r="M14" s="36">
        <f>ROUND(N14/(($E$4-$E$3)*1.161),0)</f>
        <v>183</v>
      </c>
      <c r="N14" s="59">
        <f>ROUND(SUM(VLOOKUP(CONCATENATE(E3,"-",E4,"-",E5),LEISTUNGEN_K,2,0)*1.045),0)</f>
        <v>850</v>
      </c>
      <c r="O14" s="419" t="s">
        <v>972</v>
      </c>
    </row>
    <row r="15" spans="2:15" x14ac:dyDescent="0.25">
      <c r="B15" s="424"/>
      <c r="C15" s="426"/>
      <c r="D15" s="64" t="s">
        <v>1006</v>
      </c>
      <c r="E15" s="69"/>
      <c r="F15" s="70">
        <f>ROUND(SUM(VLOOKUP(CONCATENATE(E3,"-",E4,"-",E5),LEISTUNGEN_K,14,0)*1.02),0)</f>
        <v>283</v>
      </c>
      <c r="G15" s="31"/>
      <c r="H15" s="29">
        <f>ROUND(SUM(VLOOKUP(CONCATENATE(E3,"-",E4,"-",E5),LEISTUNGEN_K,13,0)*1.03),0)</f>
        <v>416</v>
      </c>
      <c r="I15" s="33"/>
      <c r="J15" s="52">
        <f>ROUND(SUM(VLOOKUP(CONCATENATE(E3,"-",E4,"-",E5),LEISTUNGEN_K,12,0)*1.035),0)</f>
        <v>508</v>
      </c>
      <c r="K15" s="35"/>
      <c r="L15" s="56">
        <f>ROUND(SUM(VLOOKUP(CONCATENATE(E3,"-",E4,"-",E5),LEISTUNGEN_K,11,0)*1.037),0)</f>
        <v>599</v>
      </c>
      <c r="M15" s="37"/>
      <c r="N15" s="60">
        <f>ROUND(SUM(VLOOKUP(CONCATENATE(E3,"-",E4,"-",E5),LEISTUNGEN_K,9,0)*1.045),0)</f>
        <v>850</v>
      </c>
      <c r="O15" s="420"/>
    </row>
    <row r="16" spans="2:15" x14ac:dyDescent="0.25">
      <c r="B16" s="423" t="s">
        <v>965</v>
      </c>
      <c r="C16" s="425" t="s">
        <v>993</v>
      </c>
      <c r="D16" s="63" t="s">
        <v>1005</v>
      </c>
      <c r="E16" s="67">
        <f>ROUND(F16/(($E$4-$E$3)*1.161),0)</f>
        <v>95</v>
      </c>
      <c r="F16" s="68">
        <f>ROUND(F$14*1.55,0)</f>
        <v>439</v>
      </c>
      <c r="G16" s="30">
        <f>ROUND(H16/(($E$4-$E$3)*1.161),0)</f>
        <v>139</v>
      </c>
      <c r="H16" s="48">
        <f>ROUND(H$14*1.55,0)</f>
        <v>645</v>
      </c>
      <c r="I16" s="32">
        <f>ROUND(J16/(($E$4-$E$3)*1.161),0)</f>
        <v>171</v>
      </c>
      <c r="J16" s="51">
        <f>ROUND(J$14*1.56,0)</f>
        <v>792</v>
      </c>
      <c r="K16" s="34">
        <f>ROUND(L16/(($E$4-$E$3)*1.161),0)</f>
        <v>201</v>
      </c>
      <c r="L16" s="55">
        <f>ROUND(L$14*1.56,0)</f>
        <v>934</v>
      </c>
      <c r="M16" s="36">
        <f>ROUND(N16/(($E$4-$E$3)*1.161),0)</f>
        <v>291</v>
      </c>
      <c r="N16" s="59">
        <f>ROUND(N$14*1.59,0)</f>
        <v>1352</v>
      </c>
      <c r="O16" s="419" t="s">
        <v>973</v>
      </c>
    </row>
    <row r="17" spans="2:15" x14ac:dyDescent="0.25">
      <c r="B17" s="424"/>
      <c r="C17" s="426"/>
      <c r="D17" s="64" t="s">
        <v>1006</v>
      </c>
      <c r="E17" s="69"/>
      <c r="F17" s="70">
        <f>ROUND(F$15*1.55,0)</f>
        <v>439</v>
      </c>
      <c r="G17" s="31"/>
      <c r="H17" s="29">
        <f>ROUND(H$15*1.55,0)</f>
        <v>645</v>
      </c>
      <c r="I17" s="33"/>
      <c r="J17" s="52">
        <f>ROUND(J$15*1.56,0)</f>
        <v>792</v>
      </c>
      <c r="K17" s="35"/>
      <c r="L17" s="56">
        <f>ROUND(L$15*1.56,0)</f>
        <v>934</v>
      </c>
      <c r="M17" s="37"/>
      <c r="N17" s="60">
        <f>ROUND(N$15*1.59,0)</f>
        <v>1352</v>
      </c>
      <c r="O17" s="420"/>
    </row>
    <row r="18" spans="2:15" x14ac:dyDescent="0.25">
      <c r="B18" s="423" t="s">
        <v>989</v>
      </c>
      <c r="C18" s="425" t="s">
        <v>994</v>
      </c>
      <c r="D18" s="63" t="s">
        <v>1005</v>
      </c>
      <c r="E18" s="67">
        <f>ROUND(F18/(($E$4-$E$3)*1.161),0)</f>
        <v>126</v>
      </c>
      <c r="F18" s="68">
        <f>ROUND(F$14*2.06,0)</f>
        <v>583</v>
      </c>
      <c r="G18" s="30">
        <f>ROUND(H18/(($E$4-$E$3)*1.161),0)</f>
        <v>185</v>
      </c>
      <c r="H18" s="48">
        <f>ROUND(H$14*2.06,0)</f>
        <v>857</v>
      </c>
      <c r="I18" s="32">
        <f>ROUND(J18/(($E$4-$E$3)*1.161),0)</f>
        <v>228</v>
      </c>
      <c r="J18" s="51">
        <f>ROUND(J$14*2.08,0)</f>
        <v>1057</v>
      </c>
      <c r="K18" s="34">
        <f>ROUND(L18/(($E$4-$E$3)*1.161),0)</f>
        <v>268</v>
      </c>
      <c r="L18" s="55">
        <f>ROUND(L$14*2.08,0)</f>
        <v>1246</v>
      </c>
      <c r="M18" s="36">
        <f>ROUND(N18/(($E$4-$E$3)*1.161),0)</f>
        <v>386</v>
      </c>
      <c r="N18" s="59">
        <f>ROUND(N$14*2.11,0)</f>
        <v>1794</v>
      </c>
      <c r="O18" s="419" t="s">
        <v>974</v>
      </c>
    </row>
    <row r="19" spans="2:15" x14ac:dyDescent="0.25">
      <c r="B19" s="424"/>
      <c r="C19" s="426"/>
      <c r="D19" s="64" t="s">
        <v>1006</v>
      </c>
      <c r="E19" s="69"/>
      <c r="F19" s="70">
        <f>ROUND(F$15*2.06,0)</f>
        <v>583</v>
      </c>
      <c r="G19" s="31"/>
      <c r="H19" s="29">
        <f>ROUND(H$15*2.06,0)</f>
        <v>857</v>
      </c>
      <c r="I19" s="33"/>
      <c r="J19" s="52">
        <f>ROUND(J$15*2.08,0)</f>
        <v>1057</v>
      </c>
      <c r="K19" s="35"/>
      <c r="L19" s="56">
        <f>ROUND(L$15*2.08,0)</f>
        <v>1246</v>
      </c>
      <c r="M19" s="37"/>
      <c r="N19" s="60">
        <f>ROUND(N$15*2.11,0)</f>
        <v>1794</v>
      </c>
      <c r="O19" s="420"/>
    </row>
    <row r="20" spans="2:15" x14ac:dyDescent="0.25">
      <c r="B20" s="423" t="s">
        <v>966</v>
      </c>
      <c r="C20" s="425" t="s">
        <v>995</v>
      </c>
      <c r="D20" s="63" t="s">
        <v>1005</v>
      </c>
      <c r="E20" s="67">
        <f>ROUND(F20/(($E$4-$E$3)*1.161),0)</f>
        <v>158</v>
      </c>
      <c r="F20" s="68">
        <f>ROUND(F$14*2.6,0)</f>
        <v>736</v>
      </c>
      <c r="G20" s="30">
        <f>ROUND(H20/(($E$4-$E$3)*1.161),0)</f>
        <v>233</v>
      </c>
      <c r="H20" s="48">
        <f>ROUND(H$14*2.6,0)</f>
        <v>1082</v>
      </c>
      <c r="I20" s="32">
        <f>ROUND(J20/(($E$4-$E$3)*1.161),0)</f>
        <v>290</v>
      </c>
      <c r="J20" s="51">
        <f>ROUND(J$14*2.65,0)</f>
        <v>1346</v>
      </c>
      <c r="K20" s="34">
        <f>ROUND(L20/(($E$4-$E$3)*1.161),0)</f>
        <v>342</v>
      </c>
      <c r="L20" s="55">
        <f>ROUND(L$14*2.65,0)</f>
        <v>1587</v>
      </c>
      <c r="M20" s="36">
        <f>ROUND(N20/(($E$4-$E$3)*1.161),0)</f>
        <v>494</v>
      </c>
      <c r="N20" s="59">
        <f>ROUND(N$14*2.7,0)</f>
        <v>2295</v>
      </c>
      <c r="O20" s="419" t="s">
        <v>975</v>
      </c>
    </row>
    <row r="21" spans="2:15" x14ac:dyDescent="0.25">
      <c r="B21" s="424"/>
      <c r="C21" s="426"/>
      <c r="D21" s="64" t="s">
        <v>1006</v>
      </c>
      <c r="E21" s="69"/>
      <c r="F21" s="70">
        <f>ROUND(F$15*2.6,0)</f>
        <v>736</v>
      </c>
      <c r="G21" s="31"/>
      <c r="H21" s="29">
        <f>ROUND(H$15*2.6,0)</f>
        <v>1082</v>
      </c>
      <c r="I21" s="33"/>
      <c r="J21" s="52">
        <f>ROUND(J$15*2.65,0)</f>
        <v>1346</v>
      </c>
      <c r="K21" s="35"/>
      <c r="L21" s="56">
        <f t="shared" ref="L21" si="0">ROUND(L$15*2.65,0)</f>
        <v>1587</v>
      </c>
      <c r="M21" s="37"/>
      <c r="N21" s="60">
        <f>ROUND(N$15*2.7,0)</f>
        <v>2295</v>
      </c>
      <c r="O21" s="420"/>
    </row>
    <row r="22" spans="2:15" x14ac:dyDescent="0.25">
      <c r="B22" s="423" t="s">
        <v>990</v>
      </c>
      <c r="C22" s="425" t="s">
        <v>996</v>
      </c>
      <c r="D22" s="63" t="s">
        <v>1005</v>
      </c>
      <c r="E22" s="67">
        <f>ROUND(F22/(($E$4-$E$3)*1.161),0)</f>
        <v>189</v>
      </c>
      <c r="F22" s="68">
        <f>ROUND(F$14*3.1,0)</f>
        <v>877</v>
      </c>
      <c r="G22" s="30">
        <f>ROUND(H22/(($E$4-$E$3)*1.161),0)</f>
        <v>278</v>
      </c>
      <c r="H22" s="48">
        <f>ROUND(H$14*3.1,0)</f>
        <v>1290</v>
      </c>
      <c r="I22" s="32">
        <f>ROUND(J22/(($E$4-$E$3)*1.161),0)</f>
        <v>342</v>
      </c>
      <c r="J22" s="51">
        <f>ROUND(J$14*3.13,0)</f>
        <v>1590</v>
      </c>
      <c r="K22" s="34">
        <f>ROUND(L22/(($E$4-$E$3)*1.161),0)</f>
        <v>404</v>
      </c>
      <c r="L22" s="55">
        <f>ROUND(L$14*3.13,0)</f>
        <v>1875</v>
      </c>
      <c r="M22" s="36">
        <f>ROUND(N22/(($E$4-$E$3)*1.161),0)</f>
        <v>582</v>
      </c>
      <c r="N22" s="59">
        <f>ROUND(N$14*3.18,0)</f>
        <v>2703</v>
      </c>
      <c r="O22" s="419" t="s">
        <v>976</v>
      </c>
    </row>
    <row r="23" spans="2:15" x14ac:dyDescent="0.25">
      <c r="B23" s="424"/>
      <c r="C23" s="426"/>
      <c r="D23" s="64" t="s">
        <v>1006</v>
      </c>
      <c r="E23" s="69"/>
      <c r="F23" s="70">
        <f>ROUND(F$15*3.1,0)</f>
        <v>877</v>
      </c>
      <c r="G23" s="31"/>
      <c r="H23" s="29">
        <f>ROUND(H$15*3.1,0)</f>
        <v>1290</v>
      </c>
      <c r="I23" s="33"/>
      <c r="J23" s="52">
        <f>ROUND(J$15*3.13,0)</f>
        <v>1590</v>
      </c>
      <c r="K23" s="35"/>
      <c r="L23" s="56">
        <f t="shared" ref="L23" si="1">ROUND(L$15*3.13,0)</f>
        <v>1875</v>
      </c>
      <c r="M23" s="37"/>
      <c r="N23" s="60">
        <f>ROUND(N$15*3.18,0)</f>
        <v>2703</v>
      </c>
      <c r="O23" s="420"/>
    </row>
    <row r="24" spans="2:15" s="74" customFormat="1" ht="12" x14ac:dyDescent="0.2">
      <c r="O24" s="94" t="str">
        <f>VLOOKUP(23,TXT_K,$G$3,0)</f>
        <v>Leistung nach DIN EN 16430</v>
      </c>
    </row>
    <row r="25" spans="2:15" x14ac:dyDescent="0.25"/>
    <row r="26" spans="2:15" ht="21" x14ac:dyDescent="0.35">
      <c r="B26" s="15" t="str">
        <f>VLOOKUP(22,TXT_K,$G$3,0)</f>
        <v>Heizmedium  (PWW)</v>
      </c>
      <c r="C26" s="15"/>
      <c r="D26" s="15"/>
      <c r="E26" s="15"/>
      <c r="F26" s="16" t="str">
        <f>CONCATENATE(C3,"°C"," / ",C4,"°C")</f>
        <v>50°C / 40°C</v>
      </c>
      <c r="G26" s="16"/>
      <c r="H26" s="16"/>
      <c r="I26" s="16"/>
      <c r="J26" s="15"/>
      <c r="K26" s="15"/>
      <c r="L26" s="15"/>
      <c r="M26" s="17" t="str">
        <f>VLOOKUP(8,TXT_K,$G$3,0)</f>
        <v>Raumtemperatur</v>
      </c>
      <c r="N26" s="17"/>
      <c r="O26" s="18" t="str">
        <f>CONCATENATE("+",C5,"°C")</f>
        <v>+20°C</v>
      </c>
    </row>
    <row r="27" spans="2:15" s="74" customFormat="1" ht="12" x14ac:dyDescent="0.2"/>
    <row r="28" spans="2:15" s="74" customFormat="1" ht="12" x14ac:dyDescent="0.2">
      <c r="B28" s="74" t="str">
        <f>VLOOKUP(2,TXT_K,$G$3,0)</f>
        <v>Modell</v>
      </c>
      <c r="F28" s="422" t="str">
        <f>VLOOKUP(7,TXT_K,$G$3,0)</f>
        <v>Leistungsprozent</v>
      </c>
      <c r="G28" s="422"/>
      <c r="H28" s="422"/>
      <c r="I28" s="422"/>
      <c r="J28" s="422"/>
      <c r="K28" s="422"/>
      <c r="L28" s="422"/>
      <c r="M28" s="422"/>
      <c r="N28" s="422"/>
    </row>
    <row r="29" spans="2:15" ht="21" x14ac:dyDescent="0.35">
      <c r="B29" s="7" t="s">
        <v>1026</v>
      </c>
      <c r="E29" s="77"/>
      <c r="F29" s="78">
        <v>0.3</v>
      </c>
      <c r="G29" s="11"/>
      <c r="H29" s="11">
        <v>0.4</v>
      </c>
      <c r="I29" s="8"/>
      <c r="J29" s="8">
        <v>0.5</v>
      </c>
      <c r="K29" s="9"/>
      <c r="L29" s="9">
        <v>0.6</v>
      </c>
      <c r="M29" s="10"/>
      <c r="N29" s="10">
        <v>1</v>
      </c>
      <c r="O29" s="6"/>
    </row>
    <row r="30" spans="2:15" s="74" customFormat="1" ht="28.5" customHeight="1" x14ac:dyDescent="0.2">
      <c r="B30" s="85" t="str">
        <f>VLOOKUP(3,TXT_K,$G$3,0)</f>
        <v>Wanne  Bk [mm]</v>
      </c>
      <c r="C30" s="85" t="str">
        <f>VLOOKUP(4,TXT_K,$G$3,0)</f>
        <v>Element He [mm]</v>
      </c>
      <c r="E30" s="421" t="str">
        <f>VLOOKUP(21,TXT_K,$G$3,0)</f>
        <v>Heizleistung [W]</v>
      </c>
      <c r="F30" s="421"/>
      <c r="G30" s="421"/>
      <c r="H30" s="421"/>
      <c r="I30" s="421"/>
      <c r="J30" s="421"/>
      <c r="K30" s="421"/>
      <c r="L30" s="421"/>
      <c r="M30" s="421"/>
      <c r="N30" s="421"/>
      <c r="O30" s="66" t="s">
        <v>970</v>
      </c>
    </row>
    <row r="31" spans="2:15" x14ac:dyDescent="0.25">
      <c r="B31" s="12" t="s">
        <v>964</v>
      </c>
      <c r="C31" s="46" t="s">
        <v>991</v>
      </c>
      <c r="D31" s="63" t="s">
        <v>1005</v>
      </c>
      <c r="E31" s="79">
        <f>ROUND(F31/(($C$3-$C$4)*1.161),0)</f>
        <v>37</v>
      </c>
      <c r="F31" s="80">
        <f>ROUND(F32*0.5,0)</f>
        <v>428</v>
      </c>
      <c r="G31" s="38">
        <f t="shared" ref="E31:G36" si="2">ROUND(H31/(($C$3-$C$4)*1.161),0)</f>
        <v>50</v>
      </c>
      <c r="H31" s="49">
        <f>ROUND(H32*0.5,0)</f>
        <v>579</v>
      </c>
      <c r="I31" s="40">
        <f t="shared" ref="I31:I36" si="3">ROUND(J31/(($C$3-$C$4)*1.161),0)</f>
        <v>58</v>
      </c>
      <c r="J31" s="53">
        <f>ROUND(J32*0.5,0)</f>
        <v>675</v>
      </c>
      <c r="K31" s="42">
        <f t="shared" ref="K31:K36" si="4">ROUND(L31/(($C$3-$C$4)*1.161),0)</f>
        <v>66</v>
      </c>
      <c r="L31" s="57">
        <f t="shared" ref="L31:N31" si="5">ROUND(L32*0.5,0)</f>
        <v>768</v>
      </c>
      <c r="M31" s="44">
        <f t="shared" ref="M31:M36" si="6">ROUND(N31/(($C$3-$C$4)*1.161),0)</f>
        <v>84</v>
      </c>
      <c r="N31" s="61">
        <f t="shared" si="5"/>
        <v>981</v>
      </c>
      <c r="O31" s="23" t="s">
        <v>971</v>
      </c>
    </row>
    <row r="32" spans="2:15" x14ac:dyDescent="0.25">
      <c r="B32" s="12" t="s">
        <v>988</v>
      </c>
      <c r="C32" s="46" t="s">
        <v>992</v>
      </c>
      <c r="D32" s="63" t="s">
        <v>1005</v>
      </c>
      <c r="E32" s="79">
        <f t="shared" si="2"/>
        <v>74</v>
      </c>
      <c r="F32" s="80">
        <f>ROUND(SUM('BASE-HEIZ'!G3)*1.02*VLOOKUP(((C3+C4)/2)-C5,FAKTOR_K,2,0),0)</f>
        <v>855</v>
      </c>
      <c r="G32" s="38">
        <f t="shared" si="2"/>
        <v>100</v>
      </c>
      <c r="H32" s="49">
        <f>ROUND(SUM('BASE-HEIZ'!F3)*1.03*VLOOKUP(((C3+C4)/2)-C5,FAKTOR_K,2,0),0)</f>
        <v>1158</v>
      </c>
      <c r="I32" s="40">
        <f t="shared" si="3"/>
        <v>116</v>
      </c>
      <c r="J32" s="53">
        <f>ROUND(SUM('BASE-HEIZ'!E3)*1.035*VLOOKUP(((C3+C4)/2)-C5,FAKTOR_K,2,0),0)</f>
        <v>1349</v>
      </c>
      <c r="K32" s="42">
        <f t="shared" si="4"/>
        <v>132</v>
      </c>
      <c r="L32" s="57">
        <f>ROUND(SUM('BASE-HEIZ'!D3)*1.037*VLOOKUP(((C3+C4)/2)-C5,FAKTOR_K,2,0),0)</f>
        <v>1536</v>
      </c>
      <c r="M32" s="44">
        <f t="shared" si="6"/>
        <v>169</v>
      </c>
      <c r="N32" s="61">
        <f>ROUND(SUM('BASE-HEIZ'!B3)*1.045*VLOOKUP(((C3+C4)/2)-C5,FAKTOR_K,2,0),0)</f>
        <v>1962</v>
      </c>
      <c r="O32" s="24" t="s">
        <v>972</v>
      </c>
    </row>
    <row r="33" spans="2:15" x14ac:dyDescent="0.25">
      <c r="B33" s="12" t="s">
        <v>965</v>
      </c>
      <c r="C33" s="46" t="s">
        <v>993</v>
      </c>
      <c r="D33" s="63" t="s">
        <v>1005</v>
      </c>
      <c r="E33" s="79">
        <f t="shared" si="2"/>
        <v>111</v>
      </c>
      <c r="F33" s="80">
        <f>ROUND(F32*1.5,0)</f>
        <v>1283</v>
      </c>
      <c r="G33" s="38">
        <f t="shared" si="2"/>
        <v>150</v>
      </c>
      <c r="H33" s="49">
        <f>ROUND(H32*1.5,0)</f>
        <v>1737</v>
      </c>
      <c r="I33" s="40">
        <f t="shared" si="3"/>
        <v>174</v>
      </c>
      <c r="J33" s="53">
        <f t="shared" ref="J33:N33" si="7">ROUND(J32*1.5,0)</f>
        <v>2024</v>
      </c>
      <c r="K33" s="42">
        <f t="shared" si="4"/>
        <v>198</v>
      </c>
      <c r="L33" s="57">
        <f t="shared" si="7"/>
        <v>2304</v>
      </c>
      <c r="M33" s="44">
        <f t="shared" si="6"/>
        <v>253</v>
      </c>
      <c r="N33" s="61">
        <f t="shared" si="7"/>
        <v>2943</v>
      </c>
      <c r="O33" s="23" t="s">
        <v>973</v>
      </c>
    </row>
    <row r="34" spans="2:15" x14ac:dyDescent="0.25">
      <c r="B34" s="12" t="s">
        <v>989</v>
      </c>
      <c r="C34" s="46" t="s">
        <v>994</v>
      </c>
      <c r="D34" s="63" t="s">
        <v>1005</v>
      </c>
      <c r="E34" s="79">
        <f t="shared" si="2"/>
        <v>147</v>
      </c>
      <c r="F34" s="80">
        <f>ROUND(F32*2,0)</f>
        <v>1710</v>
      </c>
      <c r="G34" s="38">
        <f t="shared" si="2"/>
        <v>199</v>
      </c>
      <c r="H34" s="49">
        <f>ROUND(H32*2,0)</f>
        <v>2316</v>
      </c>
      <c r="I34" s="40">
        <f t="shared" si="3"/>
        <v>232</v>
      </c>
      <c r="J34" s="53">
        <f t="shared" ref="J34:N34" si="8">ROUND(J32*2,0)</f>
        <v>2698</v>
      </c>
      <c r="K34" s="42">
        <f t="shared" si="4"/>
        <v>265</v>
      </c>
      <c r="L34" s="57">
        <f t="shared" si="8"/>
        <v>3072</v>
      </c>
      <c r="M34" s="44">
        <f t="shared" si="6"/>
        <v>338</v>
      </c>
      <c r="N34" s="61">
        <f t="shared" si="8"/>
        <v>3924</v>
      </c>
      <c r="O34" s="23" t="s">
        <v>974</v>
      </c>
    </row>
    <row r="35" spans="2:15" x14ac:dyDescent="0.25">
      <c r="B35" s="12" t="s">
        <v>966</v>
      </c>
      <c r="C35" s="46" t="s">
        <v>995</v>
      </c>
      <c r="D35" s="63" t="s">
        <v>1005</v>
      </c>
      <c r="E35" s="79">
        <f t="shared" si="2"/>
        <v>184</v>
      </c>
      <c r="F35" s="80">
        <f>ROUND(F32*2.5,0)</f>
        <v>2138</v>
      </c>
      <c r="G35" s="38">
        <f t="shared" si="2"/>
        <v>249</v>
      </c>
      <c r="H35" s="49">
        <f>ROUND(H32*2.5,0)</f>
        <v>2895</v>
      </c>
      <c r="I35" s="40">
        <f t="shared" si="3"/>
        <v>291</v>
      </c>
      <c r="J35" s="53">
        <f t="shared" ref="J35:N35" si="9">ROUND(J32*2.5,0)</f>
        <v>3373</v>
      </c>
      <c r="K35" s="42">
        <f t="shared" si="4"/>
        <v>331</v>
      </c>
      <c r="L35" s="57">
        <f t="shared" si="9"/>
        <v>3840</v>
      </c>
      <c r="M35" s="44">
        <f t="shared" si="6"/>
        <v>422</v>
      </c>
      <c r="N35" s="61">
        <f t="shared" si="9"/>
        <v>4905</v>
      </c>
      <c r="O35" s="23" t="s">
        <v>975</v>
      </c>
    </row>
    <row r="36" spans="2:15" x14ac:dyDescent="0.25">
      <c r="B36" s="13" t="s">
        <v>990</v>
      </c>
      <c r="C36" s="47" t="s">
        <v>996</v>
      </c>
      <c r="D36" s="65" t="s">
        <v>1005</v>
      </c>
      <c r="E36" s="81">
        <f t="shared" si="2"/>
        <v>221</v>
      </c>
      <c r="F36" s="82">
        <f>ROUND(F32*3,0)</f>
        <v>2565</v>
      </c>
      <c r="G36" s="39">
        <f t="shared" si="2"/>
        <v>299</v>
      </c>
      <c r="H36" s="50">
        <f>ROUND(H32*3,0)</f>
        <v>3474</v>
      </c>
      <c r="I36" s="41">
        <f t="shared" si="3"/>
        <v>349</v>
      </c>
      <c r="J36" s="54">
        <f t="shared" ref="J36:N36" si="10">ROUND(J32*3,0)</f>
        <v>4047</v>
      </c>
      <c r="K36" s="43">
        <f t="shared" si="4"/>
        <v>397</v>
      </c>
      <c r="L36" s="58">
        <f t="shared" si="10"/>
        <v>4608</v>
      </c>
      <c r="M36" s="45">
        <f t="shared" si="6"/>
        <v>507</v>
      </c>
      <c r="N36" s="62">
        <f t="shared" si="10"/>
        <v>5886</v>
      </c>
      <c r="O36" s="25" t="s">
        <v>976</v>
      </c>
    </row>
    <row r="37" spans="2:15" s="74" customFormat="1" ht="12" x14ac:dyDescent="0.2">
      <c r="B37" s="90"/>
      <c r="C37" s="91"/>
      <c r="E37" s="92"/>
      <c r="F37" s="93"/>
      <c r="G37" s="93"/>
      <c r="H37" s="93"/>
      <c r="I37" s="92"/>
      <c r="J37" s="93"/>
      <c r="K37" s="92"/>
      <c r="L37" s="93"/>
      <c r="M37" s="92"/>
      <c r="N37" s="93"/>
      <c r="O37" s="94" t="str">
        <f>VLOOKUP(23,TXT_K,$G$3,0)</f>
        <v>Leistung nach DIN EN 16430</v>
      </c>
    </row>
    <row r="38" spans="2:15" s="74" customFormat="1" ht="12" x14ac:dyDescent="0.2">
      <c r="B38" s="76" t="str">
        <f>VLOOKUP(41,TXT_K,$G$3,0)</f>
        <v>Leistungsdaten mit Abdeckung, Rollrost Typ 941-17-B (f.Q. 70%)</v>
      </c>
      <c r="C38" s="91"/>
      <c r="E38" s="92"/>
      <c r="F38" s="93"/>
      <c r="G38" s="93"/>
      <c r="H38" s="93"/>
      <c r="I38" s="92"/>
      <c r="J38" s="93"/>
      <c r="K38" s="92"/>
      <c r="L38" s="93"/>
      <c r="M38" s="92"/>
      <c r="N38" s="93"/>
      <c r="O38" s="94"/>
    </row>
    <row r="39" spans="2:15" s="74" customFormat="1" ht="12" x14ac:dyDescent="0.2">
      <c r="B39" s="76" t="str">
        <f>VLOOKUP(42,TXT_K,$G$3,0)</f>
        <v>Bei abweichenden Abdeckungen, ist mit einer Leistungsminderung zu rechnen</v>
      </c>
      <c r="C39" s="91"/>
      <c r="E39" s="92"/>
      <c r="F39" s="93"/>
      <c r="G39" s="93"/>
      <c r="H39" s="93"/>
      <c r="I39" s="92"/>
      <c r="J39" s="93"/>
      <c r="K39" s="92"/>
      <c r="L39" s="93"/>
      <c r="M39" s="92"/>
      <c r="N39" s="93"/>
      <c r="O39" s="94"/>
    </row>
    <row r="40" spans="2:15" s="74" customFormat="1" ht="12" x14ac:dyDescent="0.2">
      <c r="B40" s="76" t="str">
        <f>VLOOKUP(28,TXT_K,$G$3,0)</f>
        <v>Minimale Wassermassenströme von ca. 20 kg/h sollen eingehalten werden</v>
      </c>
    </row>
    <row r="41" spans="2:15" ht="9.75" customHeight="1" x14ac:dyDescent="0.25"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2:15" x14ac:dyDescent="0.25">
      <c r="B42" s="75" t="str">
        <f>VLOOKUP(36,TXT_K,$G$3,0)</f>
        <v>N2: Nasse Kühlung - 2-Leiter-System mit Ablaufwanne und Ablaufstutzen für Kondensat</v>
      </c>
      <c r="C42" s="6"/>
      <c r="D42" s="6"/>
      <c r="E42" s="6"/>
      <c r="F42" s="6"/>
      <c r="G42" s="6"/>
      <c r="H42" s="6"/>
      <c r="I42" s="6"/>
      <c r="J42" s="6"/>
      <c r="K42" s="6"/>
      <c r="M42" s="6"/>
      <c r="N42" s="6"/>
      <c r="O42" s="6"/>
    </row>
    <row r="43" spans="2:15" x14ac:dyDescent="0.25">
      <c r="B43" s="76" t="str">
        <f>VLOOKUP(5,TXT_K,$G$3,0)</f>
        <v>Qt [W]: Kühlleistung gesamt</v>
      </c>
      <c r="C43" s="6"/>
      <c r="D43" s="6"/>
      <c r="E43" s="6"/>
      <c r="F43" s="6"/>
      <c r="G43" s="6"/>
      <c r="H43" s="6"/>
      <c r="I43" s="6"/>
      <c r="M43" s="6"/>
      <c r="N43" s="6"/>
      <c r="O43" s="94" t="str">
        <f>VLOOKUP(26,TXT_K,$G$3,0)</f>
        <v>Querstromventilator Typ EC65  24VDC</v>
      </c>
    </row>
    <row r="44" spans="2:15" x14ac:dyDescent="0.25">
      <c r="B44" s="76" t="str">
        <f>VLOOKUP(6,TXT_K,$G$3,0)</f>
        <v>Qs [W]: Kühlleistung sensibel</v>
      </c>
      <c r="C44" s="6"/>
      <c r="D44" s="6"/>
      <c r="E44" s="6"/>
      <c r="F44" s="6"/>
      <c r="G44" s="6"/>
      <c r="H44" s="6"/>
      <c r="I44" s="6"/>
      <c r="J44" s="6"/>
      <c r="K44" s="6"/>
      <c r="M44" s="6"/>
      <c r="N44" s="6"/>
      <c r="O44" s="98" t="str">
        <f>VLOOKUP(10,TXT_K,$G$3,0)</f>
        <v>M: Anzahl Motoren</v>
      </c>
    </row>
    <row r="45" spans="2:15" x14ac:dyDescent="0.25">
      <c r="B45" s="74" t="str">
        <f>VLOOKUP(38,TXT_K,$G$3,0)</f>
        <v>X: Erweiterung des Bodenkanals um ein Regulierungsmodul zu integrieren</v>
      </c>
      <c r="C45" s="6"/>
      <c r="D45" s="6"/>
      <c r="E45" s="6"/>
      <c r="F45" s="6"/>
      <c r="G45" s="6"/>
      <c r="H45" s="6"/>
      <c r="I45" s="6"/>
      <c r="J45" s="6"/>
      <c r="K45" s="6"/>
      <c r="M45" s="6"/>
      <c r="N45" s="6"/>
      <c r="O45" s="98" t="str">
        <f>VLOOKUP(14,TXT_K,$G$3,0)</f>
        <v>QVw: Anzahl Ventilatoren-Walzen</v>
      </c>
    </row>
    <row r="46" spans="2:15" x14ac:dyDescent="0.25">
      <c r="B46" s="74" t="str">
        <f>VLOOKUP(33,TXT_K,$G$3,0)</f>
        <v>Die Zwischenlängen werden durch Leerstücke angepasst.</v>
      </c>
      <c r="C46" s="6"/>
      <c r="D46" s="6"/>
      <c r="E46" s="6"/>
      <c r="F46" s="6"/>
      <c r="G46" s="6"/>
      <c r="H46" s="6"/>
      <c r="I46" s="6"/>
      <c r="J46" s="6"/>
      <c r="K46" s="6"/>
      <c r="M46" s="6"/>
      <c r="N46" s="6"/>
      <c r="O46" s="98" t="str">
        <f>VLOOKUP(15,TXT_K,$G$3,0)</f>
        <v>ṁ: Wassermassenstrom [kg/h]</v>
      </c>
    </row>
    <row r="47" spans="2:15" x14ac:dyDescent="0.25">
      <c r="B47" s="74" t="str">
        <f>VLOOKUP(29,TXT_K,$G$3,0)</f>
        <v>Bei Veränderungen der Standardteile können Abweichungen entstehen</v>
      </c>
    </row>
    <row r="48" spans="2:15" x14ac:dyDescent="0.25"/>
    <row r="49" spans="15:15" x14ac:dyDescent="0.25"/>
    <row r="50" spans="15:15" x14ac:dyDescent="0.25"/>
    <row r="51" spans="15:15" x14ac:dyDescent="0.25"/>
    <row r="52" spans="15:15" x14ac:dyDescent="0.25"/>
    <row r="53" spans="15:15" x14ac:dyDescent="0.25"/>
    <row r="54" spans="15:15" x14ac:dyDescent="0.25">
      <c r="O54" s="73" t="s">
        <v>1050</v>
      </c>
    </row>
    <row r="55" spans="15:15" x14ac:dyDescent="0.25"/>
  </sheetData>
  <sheetProtection algorithmName="SHA-512" hashValue="KwzPrJJ8JUVbmg+iVrGkTkUP7QHazaBRngUJrCcLN8TJLhEhOzaTt0KKTaCdAWH7vVO204poKWeDv12Uie5Dbw==" saltValue="goCS5tbULjZlQT4AFqYo4w==" spinCount="100000" sheet="1" objects="1" scenarios="1" selectLockedCells="1"/>
  <protectedRanges>
    <protectedRange sqref="C3:H5" name="Bereich1"/>
  </protectedRanges>
  <mergeCells count="32">
    <mergeCell ref="C2:D2"/>
    <mergeCell ref="C3:D3"/>
    <mergeCell ref="C4:D4"/>
    <mergeCell ref="C5:D5"/>
    <mergeCell ref="F28:N28"/>
    <mergeCell ref="G2:H2"/>
    <mergeCell ref="G3:H5"/>
    <mergeCell ref="E2:F2"/>
    <mergeCell ref="E3:F3"/>
    <mergeCell ref="E4:F4"/>
    <mergeCell ref="E5:F5"/>
    <mergeCell ref="E30:N30"/>
    <mergeCell ref="B20:B21"/>
    <mergeCell ref="C20:C21"/>
    <mergeCell ref="O20:O21"/>
    <mergeCell ref="B22:B23"/>
    <mergeCell ref="C22:C23"/>
    <mergeCell ref="O22:O23"/>
    <mergeCell ref="B16:B17"/>
    <mergeCell ref="C16:C17"/>
    <mergeCell ref="O16:O17"/>
    <mergeCell ref="B18:B19"/>
    <mergeCell ref="C18:C19"/>
    <mergeCell ref="O18:O19"/>
    <mergeCell ref="B14:B15"/>
    <mergeCell ref="C14:C15"/>
    <mergeCell ref="O14:O15"/>
    <mergeCell ref="F9:N9"/>
    <mergeCell ref="E11:N11"/>
    <mergeCell ref="B12:B13"/>
    <mergeCell ref="C12:C13"/>
    <mergeCell ref="O12:O13"/>
  </mergeCells>
  <conditionalFormatting sqref="C3:D5">
    <cfRule type="expression" dxfId="227" priority="2">
      <formula>$J$3&lt;&gt;""</formula>
    </cfRule>
  </conditionalFormatting>
  <conditionalFormatting sqref="E3:F5">
    <cfRule type="expression" dxfId="226" priority="1">
      <formula>$J$4&lt;&gt;""</formula>
    </cfRule>
  </conditionalFormatting>
  <dataValidations count="7">
    <dataValidation type="whole" allowBlank="1" showInputMessage="1" showErrorMessage="1" sqref="C3:D3" xr:uid="{BCA8A54A-68C6-4513-A708-FEC3B500B005}">
      <formula1>30</formula1>
      <formula2>90</formula2>
    </dataValidation>
    <dataValidation type="whole" allowBlank="1" showInputMessage="1" showErrorMessage="1" sqref="C4:D4" xr:uid="{69D46EB0-7987-4E61-9ACE-284F8AE63474}">
      <formula1>25</formula1>
      <formula2>85</formula2>
    </dataValidation>
    <dataValidation type="whole" allowBlank="1" showInputMessage="1" showErrorMessage="1" sqref="C5:D5" xr:uid="{ED432104-6029-461E-8814-8504D47DC911}">
      <formula1>15</formula1>
      <formula2>29</formula2>
    </dataValidation>
    <dataValidation type="whole" allowBlank="1" showInputMessage="1" showErrorMessage="1" sqref="E3:F3" xr:uid="{2E819EC1-A60D-4EE9-83B2-7782971C0617}">
      <formula1>4</formula1>
      <formula2>20</formula2>
    </dataValidation>
    <dataValidation type="whole" allowBlank="1" showInputMessage="1" showErrorMessage="1" sqref="E4:F4" xr:uid="{D0FA84EA-778D-4463-976F-730C5BA3500D}">
      <formula1>6</formula1>
      <formula2>24</formula2>
    </dataValidation>
    <dataValidation type="whole" allowBlank="1" showInputMessage="1" showErrorMessage="1" sqref="E5:F5" xr:uid="{5413D6AC-8184-43EE-8FC5-AD7DF70D8AE4}">
      <formula1>20</formula1>
      <formula2>30</formula2>
    </dataValidation>
    <dataValidation type="whole" allowBlank="1" showInputMessage="1" showErrorMessage="1" sqref="G3:H5" xr:uid="{B8B188EB-A6BE-4469-ACA4-0F9805B3AC01}">
      <formula1>2</formula1>
      <formula2>3</formula2>
    </dataValidation>
  </dataValidations>
  <pageMargins left="0.51181102362204722" right="0.31496062992125984" top="0.94488188976377963" bottom="0.55118110236220474" header="0.31496062992125984" footer="0.11811023622047245"/>
  <pageSetup paperSize="9" orientation="portrait" r:id="rId1"/>
  <headerFooter>
    <oddHeader>&amp;C&amp;G</oddHeader>
    <oddFooter>&amp;C&amp;G</oddFooter>
  </headerFooter>
  <ignoredErrors>
    <ignoredError sqref="E12:N36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" id="{264E662E-8BF9-4D5A-A429-C5DD00BEAEA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E12</xm:sqref>
        </x14:conditionalFormatting>
        <x14:conditionalFormatting xmlns:xm="http://schemas.microsoft.com/office/excel/2006/main">
          <x14:cfRule type="iconSet" priority="64" id="{13FD7847-8E0B-44D3-A079-D398EDBE0D3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E14</xm:sqref>
        </x14:conditionalFormatting>
        <x14:conditionalFormatting xmlns:xm="http://schemas.microsoft.com/office/excel/2006/main">
          <x14:cfRule type="iconSet" priority="63" id="{5520ED75-91F6-4949-B046-EE43B857741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E16</xm:sqref>
        </x14:conditionalFormatting>
        <x14:conditionalFormatting xmlns:xm="http://schemas.microsoft.com/office/excel/2006/main">
          <x14:cfRule type="iconSet" priority="62" id="{FD171835-72D3-4558-89A9-8041A99643B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</xm:sqref>
        </x14:conditionalFormatting>
        <x14:conditionalFormatting xmlns:xm="http://schemas.microsoft.com/office/excel/2006/main">
          <x14:cfRule type="iconSet" priority="61" id="{581078B1-06A7-46B9-8326-3804A0A4952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</xm:sqref>
        </x14:conditionalFormatting>
        <x14:conditionalFormatting xmlns:xm="http://schemas.microsoft.com/office/excel/2006/main">
          <x14:cfRule type="iconSet" priority="60" id="{8D7DB786-C915-4A48-B7B3-70FFDB4FC75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</xm:sqref>
        </x14:conditionalFormatting>
        <x14:conditionalFormatting xmlns:xm="http://schemas.microsoft.com/office/excel/2006/main">
          <x14:cfRule type="iconSet" priority="41" id="{4F1CB75B-E568-4E7D-A617-2F59D87A6D8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E31</xm:sqref>
        </x14:conditionalFormatting>
        <x14:conditionalFormatting xmlns:xm="http://schemas.microsoft.com/office/excel/2006/main">
          <x14:cfRule type="iconSet" priority="40" id="{9B5E1CAE-2660-4386-8693-CD0FAC69266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</xm:sqref>
        </x14:conditionalFormatting>
        <x14:conditionalFormatting xmlns:xm="http://schemas.microsoft.com/office/excel/2006/main">
          <x14:cfRule type="iconSet" priority="39" id="{FC5C6B47-7DC6-46F8-AA7A-96904432098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E33</xm:sqref>
        </x14:conditionalFormatting>
        <x14:conditionalFormatting xmlns:xm="http://schemas.microsoft.com/office/excel/2006/main">
          <x14:cfRule type="iconSet" priority="38" id="{285592EC-290E-45D0-AB1F-C120718B4BD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</xm:sqref>
        </x14:conditionalFormatting>
        <x14:conditionalFormatting xmlns:xm="http://schemas.microsoft.com/office/excel/2006/main">
          <x14:cfRule type="iconSet" priority="37" id="{B272DA6F-817A-48F5-B6E0-E89B1604439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E35</xm:sqref>
        </x14:conditionalFormatting>
        <x14:conditionalFormatting xmlns:xm="http://schemas.microsoft.com/office/excel/2006/main">
          <x14:cfRule type="iconSet" priority="36" id="{20C3A9FE-F8D2-489E-A2D1-D3A56E0D101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E36:E39</xm:sqref>
        </x14:conditionalFormatting>
        <x14:conditionalFormatting xmlns:xm="http://schemas.microsoft.com/office/excel/2006/main">
          <x14:cfRule type="iconSet" priority="14" id="{7DB657D1-D1D7-4F2F-955B-9A6203BBCFE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G12</xm:sqref>
        </x14:conditionalFormatting>
        <x14:conditionalFormatting xmlns:xm="http://schemas.microsoft.com/office/excel/2006/main">
          <x14:cfRule type="iconSet" priority="13" id="{AAA30904-B86A-4368-B9D3-87EA37CABF0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G14</xm:sqref>
        </x14:conditionalFormatting>
        <x14:conditionalFormatting xmlns:xm="http://schemas.microsoft.com/office/excel/2006/main">
          <x14:cfRule type="iconSet" priority="12" id="{0486F222-C0C1-42D6-AD7B-0EB6B9092FA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G16</xm:sqref>
        </x14:conditionalFormatting>
        <x14:conditionalFormatting xmlns:xm="http://schemas.microsoft.com/office/excel/2006/main">
          <x14:cfRule type="iconSet" priority="11" id="{1D8EC316-677F-4BC8-85B6-E8A2E34D51C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G18</xm:sqref>
        </x14:conditionalFormatting>
        <x14:conditionalFormatting xmlns:xm="http://schemas.microsoft.com/office/excel/2006/main">
          <x14:cfRule type="iconSet" priority="10" id="{B0ED60DB-7F3E-4D65-ABAE-C5BB5AA4B20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G20</xm:sqref>
        </x14:conditionalFormatting>
        <x14:conditionalFormatting xmlns:xm="http://schemas.microsoft.com/office/excel/2006/main">
          <x14:cfRule type="iconSet" priority="9" id="{499F8F55-06D6-4606-8BD3-6F3F9FC7642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G22</xm:sqref>
        </x14:conditionalFormatting>
        <x14:conditionalFormatting xmlns:xm="http://schemas.microsoft.com/office/excel/2006/main">
          <x14:cfRule type="iconSet" priority="8" id="{AE4BEE34-135E-4AC7-A43B-05A7B1867C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G31</xm:sqref>
        </x14:conditionalFormatting>
        <x14:conditionalFormatting xmlns:xm="http://schemas.microsoft.com/office/excel/2006/main">
          <x14:cfRule type="iconSet" priority="7" id="{658CFE7D-AE7D-42B3-ABC9-2B961102A32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G32</xm:sqref>
        </x14:conditionalFormatting>
        <x14:conditionalFormatting xmlns:xm="http://schemas.microsoft.com/office/excel/2006/main">
          <x14:cfRule type="iconSet" priority="6" id="{66BE79C3-2510-4121-BBA1-9201A542D3E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G33</xm:sqref>
        </x14:conditionalFormatting>
        <x14:conditionalFormatting xmlns:xm="http://schemas.microsoft.com/office/excel/2006/main">
          <x14:cfRule type="iconSet" priority="5" id="{FE354EE7-D85E-4E1F-A706-A8B4ED6F6AA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G34</xm:sqref>
        </x14:conditionalFormatting>
        <x14:conditionalFormatting xmlns:xm="http://schemas.microsoft.com/office/excel/2006/main">
          <x14:cfRule type="iconSet" priority="4" id="{D255413D-9337-408D-99ED-278C309BA90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G35</xm:sqref>
        </x14:conditionalFormatting>
        <x14:conditionalFormatting xmlns:xm="http://schemas.microsoft.com/office/excel/2006/main">
          <x14:cfRule type="iconSet" priority="3" id="{455347A9-F2D6-4DA4-96BE-A6AB9719BFC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G36</xm:sqref>
        </x14:conditionalFormatting>
        <x14:conditionalFormatting xmlns:xm="http://schemas.microsoft.com/office/excel/2006/main">
          <x14:cfRule type="iconSet" priority="59" id="{3FA48071-1CA6-4BDD-BB70-CA3C02DD6B8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I12</xm:sqref>
        </x14:conditionalFormatting>
        <x14:conditionalFormatting xmlns:xm="http://schemas.microsoft.com/office/excel/2006/main">
          <x14:cfRule type="iconSet" priority="58" id="{B9FBE80E-8F8A-4435-BBDC-BDC47E3A69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I14</xm:sqref>
        </x14:conditionalFormatting>
        <x14:conditionalFormatting xmlns:xm="http://schemas.microsoft.com/office/excel/2006/main">
          <x14:cfRule type="iconSet" priority="57" id="{A9EC61F3-433B-47C4-B391-9C683EC91AA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56" id="{3899C4F0-43AF-4C24-9CF6-88B27FF4C8A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I18</xm:sqref>
        </x14:conditionalFormatting>
        <x14:conditionalFormatting xmlns:xm="http://schemas.microsoft.com/office/excel/2006/main">
          <x14:cfRule type="iconSet" priority="55" id="{1BC230AE-09A1-4118-885B-C24401AEEE1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I20</xm:sqref>
        </x14:conditionalFormatting>
        <x14:conditionalFormatting xmlns:xm="http://schemas.microsoft.com/office/excel/2006/main">
          <x14:cfRule type="iconSet" priority="54" id="{0BDBFF6E-F784-48BF-9574-67F459763CE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I22</xm:sqref>
        </x14:conditionalFormatting>
        <x14:conditionalFormatting xmlns:xm="http://schemas.microsoft.com/office/excel/2006/main">
          <x14:cfRule type="iconSet" priority="35" id="{EB33BE7D-226C-4EFC-9987-60BA84F2A76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I31</xm:sqref>
        </x14:conditionalFormatting>
        <x14:conditionalFormatting xmlns:xm="http://schemas.microsoft.com/office/excel/2006/main">
          <x14:cfRule type="iconSet" priority="34" id="{815269D4-3748-4A11-B269-C970AAFA752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I32</xm:sqref>
        </x14:conditionalFormatting>
        <x14:conditionalFormatting xmlns:xm="http://schemas.microsoft.com/office/excel/2006/main">
          <x14:cfRule type="iconSet" priority="33" id="{DB5C24BA-B383-49BA-BF27-B66A5481F0A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I33</xm:sqref>
        </x14:conditionalFormatting>
        <x14:conditionalFormatting xmlns:xm="http://schemas.microsoft.com/office/excel/2006/main">
          <x14:cfRule type="iconSet" priority="32" id="{8956FCEA-30E7-45DD-8AAD-63BACA5FA4E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I34</xm:sqref>
        </x14:conditionalFormatting>
        <x14:conditionalFormatting xmlns:xm="http://schemas.microsoft.com/office/excel/2006/main">
          <x14:cfRule type="iconSet" priority="31" id="{45DD6DB3-49DC-4C00-92A9-139D2444BA8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I35</xm:sqref>
        </x14:conditionalFormatting>
        <x14:conditionalFormatting xmlns:xm="http://schemas.microsoft.com/office/excel/2006/main">
          <x14:cfRule type="iconSet" priority="30" id="{52F349FB-3E67-46C3-9A02-507725CFE2C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I36</xm:sqref>
        </x14:conditionalFormatting>
        <x14:conditionalFormatting xmlns:xm="http://schemas.microsoft.com/office/excel/2006/main">
          <x14:cfRule type="iconSet" priority="17" id="{B95C83FF-21C9-448E-86FF-EF55D5A1DA7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I37:I39</xm:sqref>
        </x14:conditionalFormatting>
        <x14:conditionalFormatting xmlns:xm="http://schemas.microsoft.com/office/excel/2006/main">
          <x14:cfRule type="iconSet" priority="53" id="{8DBFEC59-F3D6-48A3-8ECD-68D319F38A6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K12</xm:sqref>
        </x14:conditionalFormatting>
        <x14:conditionalFormatting xmlns:xm="http://schemas.microsoft.com/office/excel/2006/main">
          <x14:cfRule type="iconSet" priority="52" id="{9B4BB887-5FA9-495D-B4C0-5663189DEE6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K14</xm:sqref>
        </x14:conditionalFormatting>
        <x14:conditionalFormatting xmlns:xm="http://schemas.microsoft.com/office/excel/2006/main">
          <x14:cfRule type="iconSet" priority="51" id="{AEB232D9-E4AF-47AF-B268-CAF9B5DF92A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K16</xm:sqref>
        </x14:conditionalFormatting>
        <x14:conditionalFormatting xmlns:xm="http://schemas.microsoft.com/office/excel/2006/main">
          <x14:cfRule type="iconSet" priority="50" id="{65BC20BC-711A-4594-90EB-1A9F92A3971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K18</xm:sqref>
        </x14:conditionalFormatting>
        <x14:conditionalFormatting xmlns:xm="http://schemas.microsoft.com/office/excel/2006/main">
          <x14:cfRule type="iconSet" priority="49" id="{5949F604-9F03-4BE1-8980-15EC9CC2143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K20</xm:sqref>
        </x14:conditionalFormatting>
        <x14:conditionalFormatting xmlns:xm="http://schemas.microsoft.com/office/excel/2006/main">
          <x14:cfRule type="iconSet" priority="48" id="{2E6F1A11-A2C7-4139-9A38-1C78F1C5BED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K22</xm:sqref>
        </x14:conditionalFormatting>
        <x14:conditionalFormatting xmlns:xm="http://schemas.microsoft.com/office/excel/2006/main">
          <x14:cfRule type="iconSet" priority="29" id="{6F336A3E-43DC-47DC-87F5-97168B4B679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K31</xm:sqref>
        </x14:conditionalFormatting>
        <x14:conditionalFormatting xmlns:xm="http://schemas.microsoft.com/office/excel/2006/main">
          <x14:cfRule type="iconSet" priority="28" id="{E1FBD931-FFD8-47CB-B781-4DC76C94721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K32</xm:sqref>
        </x14:conditionalFormatting>
        <x14:conditionalFormatting xmlns:xm="http://schemas.microsoft.com/office/excel/2006/main">
          <x14:cfRule type="iconSet" priority="27" id="{552E84C0-399F-4C9F-9829-E159329D935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K33</xm:sqref>
        </x14:conditionalFormatting>
        <x14:conditionalFormatting xmlns:xm="http://schemas.microsoft.com/office/excel/2006/main">
          <x14:cfRule type="iconSet" priority="26" id="{B16077D1-EAEC-4A8F-9FC0-BA3B3C7CECA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K34</xm:sqref>
        </x14:conditionalFormatting>
        <x14:conditionalFormatting xmlns:xm="http://schemas.microsoft.com/office/excel/2006/main">
          <x14:cfRule type="iconSet" priority="25" id="{AFD0FAC2-3C10-468A-A9F8-51E0D9A3276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K35</xm:sqref>
        </x14:conditionalFormatting>
        <x14:conditionalFormatting xmlns:xm="http://schemas.microsoft.com/office/excel/2006/main">
          <x14:cfRule type="iconSet" priority="24" id="{E8B3BF63-2F44-4955-8007-28963884C0F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K36</xm:sqref>
        </x14:conditionalFormatting>
        <x14:conditionalFormatting xmlns:xm="http://schemas.microsoft.com/office/excel/2006/main">
          <x14:cfRule type="iconSet" priority="16" id="{51166DB3-E93B-4868-82D2-5636073764D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K37:K39</xm:sqref>
        </x14:conditionalFormatting>
        <x14:conditionalFormatting xmlns:xm="http://schemas.microsoft.com/office/excel/2006/main">
          <x14:cfRule type="iconSet" priority="47" id="{A3A51541-1A13-4687-A707-C4A884EB01F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M12</xm:sqref>
        </x14:conditionalFormatting>
        <x14:conditionalFormatting xmlns:xm="http://schemas.microsoft.com/office/excel/2006/main">
          <x14:cfRule type="iconSet" priority="46" id="{38E96794-01DD-451D-9DD2-8FC5A3BF2F1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M14</xm:sqref>
        </x14:conditionalFormatting>
        <x14:conditionalFormatting xmlns:xm="http://schemas.microsoft.com/office/excel/2006/main">
          <x14:cfRule type="iconSet" priority="45" id="{898CC1F6-DC53-4179-9AC4-49D706546E6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M16</xm:sqref>
        </x14:conditionalFormatting>
        <x14:conditionalFormatting xmlns:xm="http://schemas.microsoft.com/office/excel/2006/main">
          <x14:cfRule type="iconSet" priority="44" id="{5070C3F5-8EBC-4E96-AD2E-550A8C836F8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M18</xm:sqref>
        </x14:conditionalFormatting>
        <x14:conditionalFormatting xmlns:xm="http://schemas.microsoft.com/office/excel/2006/main">
          <x14:cfRule type="iconSet" priority="43" id="{BEB26252-523D-44F8-B89C-81461A84E72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M20</xm:sqref>
        </x14:conditionalFormatting>
        <x14:conditionalFormatting xmlns:xm="http://schemas.microsoft.com/office/excel/2006/main">
          <x14:cfRule type="iconSet" priority="42" id="{9A8464E1-00B4-436F-BE09-928DF1251D9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M22</xm:sqref>
        </x14:conditionalFormatting>
        <x14:conditionalFormatting xmlns:xm="http://schemas.microsoft.com/office/excel/2006/main">
          <x14:cfRule type="iconSet" priority="23" id="{6643E7BF-C20B-496B-A3CE-6B48E12CC7C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M31</xm:sqref>
        </x14:conditionalFormatting>
        <x14:conditionalFormatting xmlns:xm="http://schemas.microsoft.com/office/excel/2006/main">
          <x14:cfRule type="iconSet" priority="22" id="{A4D334CF-BEB9-454B-A68D-E13802BFB7F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M32</xm:sqref>
        </x14:conditionalFormatting>
        <x14:conditionalFormatting xmlns:xm="http://schemas.microsoft.com/office/excel/2006/main">
          <x14:cfRule type="iconSet" priority="21" id="{3158DAF8-B576-4D5E-94C7-06E4F8B39EF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M33</xm:sqref>
        </x14:conditionalFormatting>
        <x14:conditionalFormatting xmlns:xm="http://schemas.microsoft.com/office/excel/2006/main">
          <x14:cfRule type="iconSet" priority="20" id="{8EAD1C3A-EA69-4316-8BE6-5A7C8901782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M34</xm:sqref>
        </x14:conditionalFormatting>
        <x14:conditionalFormatting xmlns:xm="http://schemas.microsoft.com/office/excel/2006/main">
          <x14:cfRule type="iconSet" priority="19" id="{DF0E824A-B106-44D4-AA4F-4875EB60457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M35</xm:sqref>
        </x14:conditionalFormatting>
        <x14:conditionalFormatting xmlns:xm="http://schemas.microsoft.com/office/excel/2006/main">
          <x14:cfRule type="iconSet" priority="18" id="{89B7EEB5-5678-4F1F-9516-1C1B0ED680F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M36</xm:sqref>
        </x14:conditionalFormatting>
        <x14:conditionalFormatting xmlns:xm="http://schemas.microsoft.com/office/excel/2006/main">
          <x14:cfRule type="iconSet" priority="15" id="{550BCA7D-C46D-4222-B2E0-E8228789B0A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M37:M39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55"/>
  <sheetViews>
    <sheetView showGridLines="0" showRowColHeaders="0" workbookViewId="0">
      <selection activeCell="D3" sqref="D3:E3"/>
    </sheetView>
  </sheetViews>
  <sheetFormatPr baseColWidth="10" defaultColWidth="0" defaultRowHeight="15" zeroHeight="1" x14ac:dyDescent="0.25"/>
  <cols>
    <col min="1" max="1" width="3.28515625" customWidth="1"/>
    <col min="2" max="2" width="9.42578125" customWidth="1"/>
    <col min="3" max="3" width="6.5703125" customWidth="1"/>
    <col min="4" max="4" width="5" customWidth="1"/>
    <col min="5" max="5" width="7.28515625" customWidth="1"/>
    <col min="6" max="6" width="6.28515625" customWidth="1"/>
    <col min="7" max="7" width="7.28515625" customWidth="1"/>
    <col min="8" max="8" width="6.28515625" customWidth="1"/>
    <col min="9" max="9" width="7.28515625" customWidth="1"/>
    <col min="10" max="10" width="6.28515625" customWidth="1"/>
    <col min="11" max="11" width="7.28515625" customWidth="1"/>
    <col min="12" max="12" width="6.28515625" customWidth="1"/>
    <col min="13" max="13" width="7.28515625" customWidth="1"/>
    <col min="14" max="14" width="6.28515625" customWidth="1"/>
    <col min="15" max="15" width="5.28515625" customWidth="1"/>
    <col min="16" max="16" width="3.28515625" customWidth="1"/>
    <col min="17" max="16384" width="11.42578125" hidden="1"/>
  </cols>
  <sheetData>
    <row r="1" spans="2:15" x14ac:dyDescent="0.25"/>
    <row r="2" spans="2:15" x14ac:dyDescent="0.25">
      <c r="C2" s="416" t="s">
        <v>936</v>
      </c>
      <c r="D2" s="416"/>
      <c r="E2" s="417" t="s">
        <v>937</v>
      </c>
      <c r="F2" s="417"/>
      <c r="G2" s="413" t="s">
        <v>938</v>
      </c>
      <c r="H2" s="413"/>
    </row>
    <row r="3" spans="2:15" ht="23.25" x14ac:dyDescent="0.35">
      <c r="B3" s="286" t="s">
        <v>933</v>
      </c>
      <c r="C3" s="415">
        <v>50</v>
      </c>
      <c r="D3" s="415"/>
      <c r="E3" s="418">
        <v>16</v>
      </c>
      <c r="F3" s="418"/>
      <c r="G3" s="414">
        <v>2</v>
      </c>
      <c r="H3" s="414"/>
      <c r="J3" s="284" t="str">
        <f>IF(OR((C3-C4)&lt;3,(C4-C5)&lt;3,(C3-C4)&gt;25,C5&lt;15,ISERROR(F31)),"Bitte überprüfen Sie ihre Eingaben!","")</f>
        <v/>
      </c>
    </row>
    <row r="4" spans="2:15" ht="23.25" x14ac:dyDescent="0.35">
      <c r="B4" s="286" t="s">
        <v>934</v>
      </c>
      <c r="C4" s="415">
        <v>40</v>
      </c>
      <c r="D4" s="415"/>
      <c r="E4" s="418">
        <v>19</v>
      </c>
      <c r="F4" s="418"/>
      <c r="G4" s="414"/>
      <c r="H4" s="414"/>
      <c r="J4" s="284" t="str">
        <f>IF(ISERROR(F12),"Bitte überprüfen Sie ihre Eingaben!","")</f>
        <v/>
      </c>
    </row>
    <row r="5" spans="2:15" ht="23.25" x14ac:dyDescent="0.35">
      <c r="B5" s="286" t="s">
        <v>935</v>
      </c>
      <c r="C5" s="415">
        <v>20</v>
      </c>
      <c r="D5" s="415"/>
      <c r="E5" s="418">
        <v>27</v>
      </c>
      <c r="F5" s="418"/>
      <c r="G5" s="414"/>
      <c r="H5" s="414"/>
    </row>
    <row r="6" spans="2:15" x14ac:dyDescent="0.25"/>
    <row r="7" spans="2:15" ht="21" x14ac:dyDescent="0.35">
      <c r="B7" s="19" t="str">
        <f>VLOOKUP(1,TXT_K,$G$3,0)</f>
        <v>Kühlmedium  (PKW)</v>
      </c>
      <c r="C7" s="19"/>
      <c r="D7" s="19"/>
      <c r="E7" s="19"/>
      <c r="F7" s="20" t="str">
        <f>CONCATENATE(E3,"°C"," / ",E4,"°C")</f>
        <v>16°C / 19°C</v>
      </c>
      <c r="G7" s="20"/>
      <c r="H7" s="20"/>
      <c r="I7" s="20"/>
      <c r="J7" s="19"/>
      <c r="K7" s="19"/>
      <c r="L7" s="19"/>
      <c r="M7" s="21" t="str">
        <f>VLOOKUP(8,TXT_K,$G$3,0)</f>
        <v>Raumtemperatur</v>
      </c>
      <c r="N7" s="21"/>
      <c r="O7" s="22" t="str">
        <f>CONCATENATE("+",E5,"°C")</f>
        <v>+27°C</v>
      </c>
    </row>
    <row r="8" spans="2:15" s="74" customFormat="1" ht="12" x14ac:dyDescent="0.2"/>
    <row r="9" spans="2:15" s="74" customFormat="1" ht="12" x14ac:dyDescent="0.2">
      <c r="B9" s="74" t="str">
        <f>VLOOKUP(2,TXT_K,$G$3,0)</f>
        <v>Modell</v>
      </c>
      <c r="F9" s="422" t="str">
        <f>VLOOKUP(7,TXT_K,$G$3,0)</f>
        <v>Leistungsprozent</v>
      </c>
      <c r="G9" s="422"/>
      <c r="H9" s="422"/>
      <c r="I9" s="422"/>
      <c r="J9" s="422"/>
      <c r="K9" s="422"/>
      <c r="L9" s="422"/>
      <c r="M9" s="422"/>
      <c r="N9" s="422"/>
    </row>
    <row r="10" spans="2:15" ht="21" x14ac:dyDescent="0.35">
      <c r="B10" s="14" t="s">
        <v>1027</v>
      </c>
      <c r="E10" s="72"/>
      <c r="F10" s="71">
        <v>0.3</v>
      </c>
      <c r="G10" s="3"/>
      <c r="H10" s="3">
        <v>0.4</v>
      </c>
      <c r="I10" s="2"/>
      <c r="J10" s="2">
        <v>0.5</v>
      </c>
      <c r="K10" s="1"/>
      <c r="L10" s="1">
        <v>0.6</v>
      </c>
      <c r="M10" s="4"/>
      <c r="N10" s="4">
        <v>1</v>
      </c>
      <c r="O10" s="6"/>
    </row>
    <row r="11" spans="2:15" s="74" customFormat="1" ht="28.5" customHeight="1" x14ac:dyDescent="0.2">
      <c r="B11" s="85" t="str">
        <f>VLOOKUP(3,TXT_K,$G$3,0)</f>
        <v>Wanne  Bk [mm]</v>
      </c>
      <c r="C11" s="85" t="str">
        <f>VLOOKUP(4,TXT_K,$G$3,0)</f>
        <v>Element He [mm]</v>
      </c>
      <c r="E11" s="421" t="str">
        <f>VLOOKUP(20,TXT_K,$G$3,0)</f>
        <v>Kühlleistung [W]</v>
      </c>
      <c r="F11" s="421"/>
      <c r="G11" s="421"/>
      <c r="H11" s="421"/>
      <c r="I11" s="421"/>
      <c r="J11" s="421"/>
      <c r="K11" s="421"/>
      <c r="L11" s="421"/>
      <c r="M11" s="421"/>
      <c r="N11" s="421"/>
      <c r="O11" s="66" t="s">
        <v>970</v>
      </c>
    </row>
    <row r="12" spans="2:15" x14ac:dyDescent="0.25">
      <c r="B12" s="423" t="s">
        <v>999</v>
      </c>
      <c r="C12" s="425" t="s">
        <v>1002</v>
      </c>
      <c r="D12" s="63" t="s">
        <v>1005</v>
      </c>
      <c r="E12" s="67">
        <f>ROUND(F12/(($E$4-$E$3)*1.161),0)</f>
        <v>27</v>
      </c>
      <c r="F12" s="68">
        <f>ROUND(F$14*0.5,0)</f>
        <v>94</v>
      </c>
      <c r="G12" s="30">
        <f>ROUND(H12/(($E$4-$E$3)*1.161),0)</f>
        <v>39</v>
      </c>
      <c r="H12" s="48">
        <f>ROUND(H$14*0.5,0)</f>
        <v>136</v>
      </c>
      <c r="I12" s="32">
        <f>ROUND(J12/(($E$4-$E$3)*1.161),0)</f>
        <v>47</v>
      </c>
      <c r="J12" s="51">
        <f>ROUND(J$14*0.51,0)</f>
        <v>163</v>
      </c>
      <c r="K12" s="34">
        <f>ROUND(L12/(($E$4-$E$3)*1.161),0)</f>
        <v>54</v>
      </c>
      <c r="L12" s="55">
        <f>ROUND(L$14*0.51,0)</f>
        <v>188</v>
      </c>
      <c r="M12" s="36">
        <f>ROUND(N12/(($E$4-$E$3)*1.161),0)</f>
        <v>72</v>
      </c>
      <c r="N12" s="59">
        <f>ROUND(N$14*0.52,0)</f>
        <v>251</v>
      </c>
      <c r="O12" s="419" t="s">
        <v>971</v>
      </c>
    </row>
    <row r="13" spans="2:15" x14ac:dyDescent="0.25">
      <c r="B13" s="424"/>
      <c r="C13" s="426"/>
      <c r="D13" s="64" t="s">
        <v>1006</v>
      </c>
      <c r="E13" s="69"/>
      <c r="F13" s="70">
        <f>ROUND(F$15*0.5,0)</f>
        <v>94</v>
      </c>
      <c r="G13" s="31"/>
      <c r="H13" s="29">
        <f>ROUND(H$15*0.5,0)</f>
        <v>136</v>
      </c>
      <c r="I13" s="33"/>
      <c r="J13" s="52">
        <f>ROUND(J$15*0.51,0)</f>
        <v>163</v>
      </c>
      <c r="K13" s="35"/>
      <c r="L13" s="56">
        <f>ROUND(L$15*0.51,0)</f>
        <v>188</v>
      </c>
      <c r="M13" s="37"/>
      <c r="N13" s="60">
        <f>ROUND(N$15*0.52,0)</f>
        <v>251</v>
      </c>
      <c r="O13" s="420"/>
    </row>
    <row r="14" spans="2:15" x14ac:dyDescent="0.25">
      <c r="B14" s="423" t="s">
        <v>962</v>
      </c>
      <c r="C14" s="425" t="s">
        <v>964</v>
      </c>
      <c r="D14" s="63" t="s">
        <v>1005</v>
      </c>
      <c r="E14" s="67">
        <f>ROUND(F14/(($E$4-$E$3)*1.161),0)</f>
        <v>54</v>
      </c>
      <c r="F14" s="68">
        <f>ROUND(SUM(VLOOKUP(CONCATENATE(E3,"-",E4,"-",E5),LEISTUNGEN_K,21,0)*1.02),0)</f>
        <v>188</v>
      </c>
      <c r="G14" s="30">
        <f>ROUND(H14/(($E$4-$E$3)*1.161),0)</f>
        <v>78</v>
      </c>
      <c r="H14" s="48">
        <f>ROUND(SUM(VLOOKUP(CONCATENATE(E3,"-",E4,"-",E5),LEISTUNGEN_K,20,0)*1.03),0)</f>
        <v>271</v>
      </c>
      <c r="I14" s="32">
        <f>ROUND(J14/(($E$4-$E$3)*1.161),0)</f>
        <v>92</v>
      </c>
      <c r="J14" s="51">
        <f>ROUND(SUM(VLOOKUP(CONCATENATE(E3,"-",E4,"-",E5),LEISTUNGEN_K,19,0)*1.035),0)</f>
        <v>320</v>
      </c>
      <c r="K14" s="34">
        <f>ROUND(L14/(($E$4-$E$3)*1.161),0)</f>
        <v>106</v>
      </c>
      <c r="L14" s="55">
        <f>ROUND(SUM(VLOOKUP(CONCATENATE(E3,"-",E4,"-",E5),LEISTUNGEN_K,18,0)*1.037),0)</f>
        <v>368</v>
      </c>
      <c r="M14" s="36">
        <f>ROUND(N14/(($E$4-$E$3)*1.161),0)</f>
        <v>139</v>
      </c>
      <c r="N14" s="59">
        <f>ROUND(SUM(VLOOKUP(CONCATENATE(E3,"-",E4,"-",E5),LEISTUNGEN_K,16,0)*1.045),0)</f>
        <v>483</v>
      </c>
      <c r="O14" s="419" t="s">
        <v>972</v>
      </c>
    </row>
    <row r="15" spans="2:15" x14ac:dyDescent="0.25">
      <c r="B15" s="424"/>
      <c r="C15" s="426"/>
      <c r="D15" s="64" t="s">
        <v>1006</v>
      </c>
      <c r="E15" s="69"/>
      <c r="F15" s="70">
        <f>ROUND(SUM(VLOOKUP(CONCATENATE(E3,"-",E4,"-",E5),LEISTUNGEN_K,28,0)*1.02),0)</f>
        <v>188</v>
      </c>
      <c r="G15" s="31"/>
      <c r="H15" s="29">
        <f>ROUND(SUM(VLOOKUP(CONCATENATE(E3,"-",E4,"-",E5),LEISTUNGEN_K,27,0)*1.03),0)</f>
        <v>271</v>
      </c>
      <c r="I15" s="33"/>
      <c r="J15" s="52">
        <f>ROUND(SUM(VLOOKUP(CONCATENATE(E3,"-",E4,"-",E5),LEISTUNGEN_K,26,0)*1.035),0)</f>
        <v>320</v>
      </c>
      <c r="K15" s="35"/>
      <c r="L15" s="56">
        <f>ROUND(SUM(VLOOKUP(CONCATENATE(E3,"-",E4,"-",E5),LEISTUNGEN_K,25,0)*1.037),0)</f>
        <v>368</v>
      </c>
      <c r="M15" s="37"/>
      <c r="N15" s="60">
        <f>ROUND(SUM(VLOOKUP(CONCATENATE(E3,"-",E4,"-",E5),LEISTUNGEN_K,23,0)*1.045),0)</f>
        <v>483</v>
      </c>
      <c r="O15" s="420"/>
    </row>
    <row r="16" spans="2:15" x14ac:dyDescent="0.25">
      <c r="B16" s="423" t="s">
        <v>1000</v>
      </c>
      <c r="C16" s="425" t="s">
        <v>1003</v>
      </c>
      <c r="D16" s="63" t="s">
        <v>1005</v>
      </c>
      <c r="E16" s="67">
        <f>ROUND(F16/(($E$4-$E$3)*1.161),0)</f>
        <v>84</v>
      </c>
      <c r="F16" s="68">
        <f>ROUND(F$14*1.55,0)</f>
        <v>291</v>
      </c>
      <c r="G16" s="30">
        <f>ROUND(H16/(($E$4-$E$3)*1.161),0)</f>
        <v>121</v>
      </c>
      <c r="H16" s="48">
        <f>ROUND(H$14*1.55,0)</f>
        <v>420</v>
      </c>
      <c r="I16" s="32">
        <f>ROUND(J16/(($E$4-$E$3)*1.161),0)</f>
        <v>143</v>
      </c>
      <c r="J16" s="51">
        <f>ROUND(J$14*1.56,0)</f>
        <v>499</v>
      </c>
      <c r="K16" s="34">
        <f>ROUND(L16/(($E$4-$E$3)*1.161),0)</f>
        <v>165</v>
      </c>
      <c r="L16" s="55">
        <f>ROUND(L$14*1.56,0)</f>
        <v>574</v>
      </c>
      <c r="M16" s="36">
        <f>ROUND(N16/(($E$4-$E$3)*1.161),0)</f>
        <v>220</v>
      </c>
      <c r="N16" s="59">
        <f>ROUND(N$14*1.59,0)</f>
        <v>768</v>
      </c>
      <c r="O16" s="419" t="s">
        <v>973</v>
      </c>
    </row>
    <row r="17" spans="2:15" x14ac:dyDescent="0.25">
      <c r="B17" s="424"/>
      <c r="C17" s="426"/>
      <c r="D17" s="64" t="s">
        <v>1006</v>
      </c>
      <c r="E17" s="69"/>
      <c r="F17" s="70">
        <f>ROUND(F$15*1.55,0)</f>
        <v>291</v>
      </c>
      <c r="G17" s="31"/>
      <c r="H17" s="29">
        <f>ROUND(H$15*1.55,0)</f>
        <v>420</v>
      </c>
      <c r="I17" s="33"/>
      <c r="J17" s="52">
        <f>ROUND(J$15*1.56,0)</f>
        <v>499</v>
      </c>
      <c r="K17" s="35"/>
      <c r="L17" s="56">
        <f>ROUND(L$15*1.56,0)</f>
        <v>574</v>
      </c>
      <c r="M17" s="37"/>
      <c r="N17" s="60">
        <f>ROUND(N$15*1.59,0)</f>
        <v>768</v>
      </c>
      <c r="O17" s="420"/>
    </row>
    <row r="18" spans="2:15" x14ac:dyDescent="0.25">
      <c r="B18" s="423" t="s">
        <v>963</v>
      </c>
      <c r="C18" s="425" t="s">
        <v>965</v>
      </c>
      <c r="D18" s="63" t="s">
        <v>1005</v>
      </c>
      <c r="E18" s="67">
        <f>ROUND(F18/(($E$4-$E$3)*1.161),0)</f>
        <v>111</v>
      </c>
      <c r="F18" s="68">
        <f>ROUND(F$14*2.06,0)</f>
        <v>387</v>
      </c>
      <c r="G18" s="30">
        <f>ROUND(H18/(($E$4-$E$3)*1.161),0)</f>
        <v>160</v>
      </c>
      <c r="H18" s="48">
        <f>ROUND(H$14*2.06,0)</f>
        <v>558</v>
      </c>
      <c r="I18" s="32">
        <f>ROUND(J18/(($E$4-$E$3)*1.161),0)</f>
        <v>191</v>
      </c>
      <c r="J18" s="51">
        <f>ROUND(J$14*2.08,0)</f>
        <v>666</v>
      </c>
      <c r="K18" s="34">
        <f>ROUND(L18/(($E$4-$E$3)*1.161),0)</f>
        <v>220</v>
      </c>
      <c r="L18" s="55">
        <f>ROUND(L$14*2.08,0)</f>
        <v>765</v>
      </c>
      <c r="M18" s="36">
        <f>ROUND(N18/(($E$4-$E$3)*1.161),0)</f>
        <v>293</v>
      </c>
      <c r="N18" s="59">
        <f>ROUND(N$14*2.11,0)</f>
        <v>1019</v>
      </c>
      <c r="O18" s="419" t="s">
        <v>974</v>
      </c>
    </row>
    <row r="19" spans="2:15" x14ac:dyDescent="0.25">
      <c r="B19" s="424"/>
      <c r="C19" s="426"/>
      <c r="D19" s="64" t="s">
        <v>1006</v>
      </c>
      <c r="E19" s="69"/>
      <c r="F19" s="70">
        <f>ROUND(F$15*2.06,0)</f>
        <v>387</v>
      </c>
      <c r="G19" s="31"/>
      <c r="H19" s="29">
        <f>ROUND(H$15*2.06,0)</f>
        <v>558</v>
      </c>
      <c r="I19" s="33"/>
      <c r="J19" s="52">
        <f>ROUND(J$15*2.08,0)</f>
        <v>666</v>
      </c>
      <c r="K19" s="35"/>
      <c r="L19" s="56">
        <f>ROUND(L$15*2.08,0)</f>
        <v>765</v>
      </c>
      <c r="M19" s="37"/>
      <c r="N19" s="60">
        <f>ROUND(N$15*2.11,0)</f>
        <v>1019</v>
      </c>
      <c r="O19" s="420"/>
    </row>
    <row r="20" spans="2:15" x14ac:dyDescent="0.25">
      <c r="B20" s="423" t="s">
        <v>1001</v>
      </c>
      <c r="C20" s="425" t="s">
        <v>1004</v>
      </c>
      <c r="D20" s="63" t="s">
        <v>1005</v>
      </c>
      <c r="E20" s="67">
        <f>ROUND(F20/(($E$4-$E$3)*1.161),0)</f>
        <v>140</v>
      </c>
      <c r="F20" s="68">
        <f>ROUND(F$14*2.6,0)</f>
        <v>489</v>
      </c>
      <c r="G20" s="30">
        <f>ROUND(H20/(($E$4-$E$3)*1.161),0)</f>
        <v>202</v>
      </c>
      <c r="H20" s="48">
        <f>ROUND(H$14*2.6,0)</f>
        <v>705</v>
      </c>
      <c r="I20" s="32">
        <f>ROUND(J20/(($E$4-$E$3)*1.161),0)</f>
        <v>243</v>
      </c>
      <c r="J20" s="51">
        <f>ROUND(J$14*2.65,0)</f>
        <v>848</v>
      </c>
      <c r="K20" s="34">
        <f>ROUND(L20/(($E$4-$E$3)*1.161),0)</f>
        <v>280</v>
      </c>
      <c r="L20" s="55">
        <f>ROUND(L$14*2.65,0)</f>
        <v>975</v>
      </c>
      <c r="M20" s="36">
        <f>ROUND(N20/(($E$4-$E$3)*1.161),0)</f>
        <v>374</v>
      </c>
      <c r="N20" s="59">
        <f>ROUND(N$14*2.7,0)</f>
        <v>1304</v>
      </c>
      <c r="O20" s="419" t="s">
        <v>975</v>
      </c>
    </row>
    <row r="21" spans="2:15" x14ac:dyDescent="0.25">
      <c r="B21" s="424"/>
      <c r="C21" s="426"/>
      <c r="D21" s="64" t="s">
        <v>1006</v>
      </c>
      <c r="E21" s="69"/>
      <c r="F21" s="70">
        <f>ROUND(F$15*2.6,0)</f>
        <v>489</v>
      </c>
      <c r="G21" s="31"/>
      <c r="H21" s="29">
        <f>ROUND(H$15*2.6,0)</f>
        <v>705</v>
      </c>
      <c r="I21" s="33"/>
      <c r="J21" s="52">
        <f>ROUND(J$15*2.65,0)</f>
        <v>848</v>
      </c>
      <c r="K21" s="35"/>
      <c r="L21" s="56">
        <f t="shared" ref="L21" si="0">ROUND(L$15*2.65,0)</f>
        <v>975</v>
      </c>
      <c r="M21" s="37"/>
      <c r="N21" s="60">
        <f>ROUND(N$15*2.7,0)</f>
        <v>1304</v>
      </c>
      <c r="O21" s="420"/>
    </row>
    <row r="22" spans="2:15" x14ac:dyDescent="0.25">
      <c r="B22" s="423" t="s">
        <v>1020</v>
      </c>
      <c r="C22" s="425" t="s">
        <v>966</v>
      </c>
      <c r="D22" s="63" t="s">
        <v>1005</v>
      </c>
      <c r="E22" s="67">
        <f>ROUND(F22/(($E$4-$E$3)*1.161),0)</f>
        <v>167</v>
      </c>
      <c r="F22" s="68">
        <f>ROUND(F$14*3.1,0)</f>
        <v>583</v>
      </c>
      <c r="G22" s="30">
        <f>ROUND(H22/(($E$4-$E$3)*1.161),0)</f>
        <v>241</v>
      </c>
      <c r="H22" s="48">
        <f>ROUND(H$14*3.1,0)</f>
        <v>840</v>
      </c>
      <c r="I22" s="32">
        <f>ROUND(J22/(($E$4-$E$3)*1.161),0)</f>
        <v>288</v>
      </c>
      <c r="J22" s="51">
        <f>ROUND(J$14*3.13,0)</f>
        <v>1002</v>
      </c>
      <c r="K22" s="34">
        <f>ROUND(L22/(($E$4-$E$3)*1.161),0)</f>
        <v>331</v>
      </c>
      <c r="L22" s="55">
        <f>ROUND(L$14*3.13,0)</f>
        <v>1152</v>
      </c>
      <c r="M22" s="36">
        <f>ROUND(N22/(($E$4-$E$3)*1.161),0)</f>
        <v>441</v>
      </c>
      <c r="N22" s="59">
        <f>ROUND(N$14*3.18,0)</f>
        <v>1536</v>
      </c>
      <c r="O22" s="419" t="s">
        <v>976</v>
      </c>
    </row>
    <row r="23" spans="2:15" x14ac:dyDescent="0.25">
      <c r="B23" s="424"/>
      <c r="C23" s="426"/>
      <c r="D23" s="64" t="s">
        <v>1006</v>
      </c>
      <c r="E23" s="69"/>
      <c r="F23" s="70">
        <f>ROUND(F$15*3.1,0)</f>
        <v>583</v>
      </c>
      <c r="G23" s="31"/>
      <c r="H23" s="29">
        <f>ROUND(H$15*3.1,0)</f>
        <v>840</v>
      </c>
      <c r="I23" s="33"/>
      <c r="J23" s="52">
        <f>ROUND(J$15*3.13,0)</f>
        <v>1002</v>
      </c>
      <c r="K23" s="35"/>
      <c r="L23" s="56">
        <f t="shared" ref="L23" si="1">ROUND(L$15*3.13,0)</f>
        <v>1152</v>
      </c>
      <c r="M23" s="37"/>
      <c r="N23" s="60">
        <f>ROUND(N$15*3.18,0)</f>
        <v>1536</v>
      </c>
      <c r="O23" s="420"/>
    </row>
    <row r="24" spans="2:15" s="74" customFormat="1" ht="12" x14ac:dyDescent="0.2">
      <c r="O24" s="94" t="str">
        <f>VLOOKUP(23,TXT_K,$G$3,0)</f>
        <v>Leistung nach DIN EN 16430</v>
      </c>
    </row>
    <row r="25" spans="2:15" x14ac:dyDescent="0.25"/>
    <row r="26" spans="2:15" ht="21" x14ac:dyDescent="0.35">
      <c r="B26" s="15" t="str">
        <f>VLOOKUP(22,TXT_K,$G$3,0)</f>
        <v>Heizmedium  (PWW)</v>
      </c>
      <c r="C26" s="15"/>
      <c r="D26" s="15"/>
      <c r="E26" s="15"/>
      <c r="F26" s="16" t="str">
        <f>CONCATENATE(C3,"°C"," / ",C4,"°C")</f>
        <v>50°C / 40°C</v>
      </c>
      <c r="G26" s="16"/>
      <c r="H26" s="16"/>
      <c r="I26" s="16"/>
      <c r="J26" s="15"/>
      <c r="K26" s="15"/>
      <c r="L26" s="15"/>
      <c r="M26" s="17" t="str">
        <f>VLOOKUP(8,TXT_K,$G$3,0)</f>
        <v>Raumtemperatur</v>
      </c>
      <c r="N26" s="17"/>
      <c r="O26" s="18" t="str">
        <f>CONCATENATE("+",C5,"°C")</f>
        <v>+20°C</v>
      </c>
    </row>
    <row r="27" spans="2:15" s="74" customFormat="1" ht="12" x14ac:dyDescent="0.2"/>
    <row r="28" spans="2:15" s="74" customFormat="1" ht="12" x14ac:dyDescent="0.2">
      <c r="B28" s="74" t="str">
        <f>VLOOKUP(2,TXT_K,$G$3,0)</f>
        <v>Modell</v>
      </c>
      <c r="F28" s="422" t="str">
        <f>VLOOKUP(7,TXT_K,$G$3,0)</f>
        <v>Leistungsprozent</v>
      </c>
      <c r="G28" s="422"/>
      <c r="H28" s="422"/>
      <c r="I28" s="422"/>
      <c r="J28" s="422"/>
      <c r="K28" s="422"/>
      <c r="L28" s="422"/>
      <c r="M28" s="422"/>
      <c r="N28" s="422"/>
    </row>
    <row r="29" spans="2:15" ht="21" x14ac:dyDescent="0.35">
      <c r="B29" s="7" t="s">
        <v>1027</v>
      </c>
      <c r="E29" s="77"/>
      <c r="F29" s="78">
        <v>0.3</v>
      </c>
      <c r="G29" s="11"/>
      <c r="H29" s="11">
        <v>0.4</v>
      </c>
      <c r="I29" s="8"/>
      <c r="J29" s="8">
        <v>0.5</v>
      </c>
      <c r="K29" s="9"/>
      <c r="L29" s="9">
        <v>0.6</v>
      </c>
      <c r="M29" s="10"/>
      <c r="N29" s="10">
        <v>1</v>
      </c>
      <c r="O29" s="6"/>
    </row>
    <row r="30" spans="2:15" s="74" customFormat="1" ht="28.5" customHeight="1" x14ac:dyDescent="0.2">
      <c r="B30" s="85" t="str">
        <f>VLOOKUP(3,TXT_K,$G$3,0)</f>
        <v>Wanne  Bk [mm]</v>
      </c>
      <c r="C30" s="85" t="str">
        <f>VLOOKUP(4,TXT_K,$G$3,0)</f>
        <v>Element He [mm]</v>
      </c>
      <c r="E30" s="421" t="str">
        <f>VLOOKUP(21,TXT_K,$G$3,0)</f>
        <v>Heizleistung [W]</v>
      </c>
      <c r="F30" s="421"/>
      <c r="G30" s="421"/>
      <c r="H30" s="421"/>
      <c r="I30" s="421"/>
      <c r="J30" s="421"/>
      <c r="K30" s="421"/>
      <c r="L30" s="421"/>
      <c r="M30" s="421"/>
      <c r="N30" s="421"/>
      <c r="O30" s="66" t="s">
        <v>970</v>
      </c>
    </row>
    <row r="31" spans="2:15" x14ac:dyDescent="0.25">
      <c r="B31" s="12" t="s">
        <v>999</v>
      </c>
      <c r="C31" s="46" t="s">
        <v>1002</v>
      </c>
      <c r="D31" s="63" t="s">
        <v>1005</v>
      </c>
      <c r="E31" s="79">
        <f t="shared" ref="E31:G36" si="2">ROUND(F31/(($C$3-$C$4)*1.161),0)</f>
        <v>25</v>
      </c>
      <c r="F31" s="80">
        <f>ROUND(F32*0.5,0)</f>
        <v>290</v>
      </c>
      <c r="G31" s="38">
        <f t="shared" si="2"/>
        <v>32</v>
      </c>
      <c r="H31" s="49">
        <f>ROUND(H32*0.5,0)</f>
        <v>370</v>
      </c>
      <c r="I31" s="40">
        <f t="shared" ref="I31:I36" si="3">ROUND(J31/(($C$3-$C$4)*1.161),0)</f>
        <v>36</v>
      </c>
      <c r="J31" s="53">
        <f>ROUND(J32*0.5,0)</f>
        <v>413</v>
      </c>
      <c r="K31" s="42">
        <f t="shared" ref="K31:K36" si="4">ROUND(L31/(($C$3-$C$4)*1.161),0)</f>
        <v>39</v>
      </c>
      <c r="L31" s="57">
        <f t="shared" ref="L31:N31" si="5">ROUND(L32*0.5,0)</f>
        <v>456</v>
      </c>
      <c r="M31" s="44">
        <f t="shared" ref="M31:M36" si="6">ROUND(N31/(($C$3-$C$4)*1.161),0)</f>
        <v>47</v>
      </c>
      <c r="N31" s="61">
        <f t="shared" si="5"/>
        <v>547</v>
      </c>
      <c r="O31" s="23" t="s">
        <v>971</v>
      </c>
    </row>
    <row r="32" spans="2:15" x14ac:dyDescent="0.25">
      <c r="B32" s="12" t="s">
        <v>962</v>
      </c>
      <c r="C32" s="46" t="s">
        <v>964</v>
      </c>
      <c r="D32" s="63" t="s">
        <v>1005</v>
      </c>
      <c r="E32" s="79">
        <f t="shared" si="2"/>
        <v>50</v>
      </c>
      <c r="F32" s="80">
        <f>ROUND(SUM('BASE-HEIZ'!G7)*1.02*VLOOKUP(((C3+C4)/2)-C5,FAKTOR_K,2,0),0)</f>
        <v>579</v>
      </c>
      <c r="G32" s="38">
        <f t="shared" si="2"/>
        <v>64</v>
      </c>
      <c r="H32" s="49">
        <f>ROUND(SUM('BASE-HEIZ'!F7)*1.03*VLOOKUP(((C3+C4)/2)-C5,FAKTOR_K,2,0),0)</f>
        <v>740</v>
      </c>
      <c r="I32" s="40">
        <f t="shared" si="3"/>
        <v>71</v>
      </c>
      <c r="J32" s="53">
        <f>ROUND(SUM('BASE-HEIZ'!E7)*1.035*VLOOKUP(((C3+C4)/2)-C5,FAKTOR_K,2,0),0)</f>
        <v>826</v>
      </c>
      <c r="K32" s="42">
        <f t="shared" si="4"/>
        <v>78</v>
      </c>
      <c r="L32" s="57">
        <f>ROUND(SUM('BASE-HEIZ'!D7)*1.037*VLOOKUP(((C3+C4)/2)-C5,FAKTOR_K,2,0),0)</f>
        <v>911</v>
      </c>
      <c r="M32" s="44">
        <f t="shared" si="6"/>
        <v>94</v>
      </c>
      <c r="N32" s="61">
        <f>ROUND(SUM('BASE-HEIZ'!B7)*1.045*VLOOKUP(((C3+C4)/2)-C5,FAKTOR_K,2,0),0)</f>
        <v>1094</v>
      </c>
      <c r="O32" s="24" t="s">
        <v>972</v>
      </c>
    </row>
    <row r="33" spans="2:15" x14ac:dyDescent="0.25">
      <c r="B33" s="12" t="s">
        <v>1000</v>
      </c>
      <c r="C33" s="46" t="s">
        <v>1003</v>
      </c>
      <c r="D33" s="63" t="s">
        <v>1005</v>
      </c>
      <c r="E33" s="79">
        <f t="shared" si="2"/>
        <v>75</v>
      </c>
      <c r="F33" s="80">
        <f>ROUND(F32*1.5,0)</f>
        <v>869</v>
      </c>
      <c r="G33" s="38">
        <f t="shared" si="2"/>
        <v>96</v>
      </c>
      <c r="H33" s="49">
        <f>ROUND(H32*1.5,0)</f>
        <v>1110</v>
      </c>
      <c r="I33" s="40">
        <f t="shared" si="3"/>
        <v>107</v>
      </c>
      <c r="J33" s="53">
        <f t="shared" ref="J33:N33" si="7">ROUND(J32*1.5,0)</f>
        <v>1239</v>
      </c>
      <c r="K33" s="42">
        <f t="shared" si="4"/>
        <v>118</v>
      </c>
      <c r="L33" s="57">
        <f t="shared" si="7"/>
        <v>1367</v>
      </c>
      <c r="M33" s="44">
        <f t="shared" si="6"/>
        <v>141</v>
      </c>
      <c r="N33" s="61">
        <f t="shared" si="7"/>
        <v>1641</v>
      </c>
      <c r="O33" s="23" t="s">
        <v>973</v>
      </c>
    </row>
    <row r="34" spans="2:15" x14ac:dyDescent="0.25">
      <c r="B34" s="12" t="s">
        <v>963</v>
      </c>
      <c r="C34" s="46" t="s">
        <v>965</v>
      </c>
      <c r="D34" s="63" t="s">
        <v>1005</v>
      </c>
      <c r="E34" s="79">
        <f t="shared" si="2"/>
        <v>100</v>
      </c>
      <c r="F34" s="80">
        <f>ROUND(F32*2,0)</f>
        <v>1158</v>
      </c>
      <c r="G34" s="38">
        <f t="shared" si="2"/>
        <v>127</v>
      </c>
      <c r="H34" s="49">
        <f>ROUND(H32*2,0)</f>
        <v>1480</v>
      </c>
      <c r="I34" s="40">
        <f t="shared" si="3"/>
        <v>142</v>
      </c>
      <c r="J34" s="53">
        <f t="shared" ref="J34:N34" si="8">ROUND(J32*2,0)</f>
        <v>1652</v>
      </c>
      <c r="K34" s="42">
        <f t="shared" si="4"/>
        <v>157</v>
      </c>
      <c r="L34" s="57">
        <f t="shared" si="8"/>
        <v>1822</v>
      </c>
      <c r="M34" s="44">
        <f t="shared" si="6"/>
        <v>188</v>
      </c>
      <c r="N34" s="61">
        <f t="shared" si="8"/>
        <v>2188</v>
      </c>
      <c r="O34" s="23" t="s">
        <v>974</v>
      </c>
    </row>
    <row r="35" spans="2:15" x14ac:dyDescent="0.25">
      <c r="B35" s="12" t="s">
        <v>1001</v>
      </c>
      <c r="C35" s="46" t="s">
        <v>1004</v>
      </c>
      <c r="D35" s="63" t="s">
        <v>1005</v>
      </c>
      <c r="E35" s="79">
        <f t="shared" si="2"/>
        <v>125</v>
      </c>
      <c r="F35" s="80">
        <f>ROUND(F32*2.5,0)</f>
        <v>1448</v>
      </c>
      <c r="G35" s="38">
        <f t="shared" si="2"/>
        <v>159</v>
      </c>
      <c r="H35" s="49">
        <f>ROUND(H32*2.5,0)</f>
        <v>1850</v>
      </c>
      <c r="I35" s="40">
        <f t="shared" si="3"/>
        <v>178</v>
      </c>
      <c r="J35" s="53">
        <f t="shared" ref="J35:N35" si="9">ROUND(J32*2.5,0)</f>
        <v>2065</v>
      </c>
      <c r="K35" s="42">
        <f t="shared" si="4"/>
        <v>196</v>
      </c>
      <c r="L35" s="57">
        <f t="shared" si="9"/>
        <v>2278</v>
      </c>
      <c r="M35" s="44">
        <f t="shared" si="6"/>
        <v>236</v>
      </c>
      <c r="N35" s="61">
        <f t="shared" si="9"/>
        <v>2735</v>
      </c>
      <c r="O35" s="23" t="s">
        <v>975</v>
      </c>
    </row>
    <row r="36" spans="2:15" x14ac:dyDescent="0.25">
      <c r="B36" s="13" t="s">
        <v>1020</v>
      </c>
      <c r="C36" s="47" t="s">
        <v>966</v>
      </c>
      <c r="D36" s="65" t="s">
        <v>1005</v>
      </c>
      <c r="E36" s="81">
        <f t="shared" si="2"/>
        <v>150</v>
      </c>
      <c r="F36" s="82">
        <f>ROUND(F32*3,0)</f>
        <v>1737</v>
      </c>
      <c r="G36" s="39">
        <f t="shared" si="2"/>
        <v>191</v>
      </c>
      <c r="H36" s="50">
        <f>ROUND(H32*3,0)</f>
        <v>2220</v>
      </c>
      <c r="I36" s="41">
        <f t="shared" si="3"/>
        <v>213</v>
      </c>
      <c r="J36" s="54">
        <f t="shared" ref="J36:N36" si="10">ROUND(J32*3,0)</f>
        <v>2478</v>
      </c>
      <c r="K36" s="43">
        <f t="shared" si="4"/>
        <v>235</v>
      </c>
      <c r="L36" s="58">
        <f t="shared" si="10"/>
        <v>2733</v>
      </c>
      <c r="M36" s="45">
        <f t="shared" si="6"/>
        <v>283</v>
      </c>
      <c r="N36" s="62">
        <f t="shared" si="10"/>
        <v>3282</v>
      </c>
      <c r="O36" s="25" t="s">
        <v>976</v>
      </c>
    </row>
    <row r="37" spans="2:15" s="74" customFormat="1" ht="12" x14ac:dyDescent="0.2">
      <c r="B37" s="90"/>
      <c r="C37" s="91"/>
      <c r="E37" s="92"/>
      <c r="F37" s="93"/>
      <c r="G37" s="93"/>
      <c r="H37" s="93"/>
      <c r="I37" s="92"/>
      <c r="J37" s="93"/>
      <c r="K37" s="92"/>
      <c r="L37" s="93"/>
      <c r="M37" s="92"/>
      <c r="N37" s="93"/>
      <c r="O37" s="94" t="str">
        <f>VLOOKUP(23,TXT_K,$G$3,0)</f>
        <v>Leistung nach DIN EN 16430</v>
      </c>
    </row>
    <row r="38" spans="2:15" s="76" customFormat="1" ht="12" x14ac:dyDescent="0.2">
      <c r="B38" s="76" t="str">
        <f>VLOOKUP(41,TXT_K,$G$3,0)</f>
        <v>Leistungsdaten mit Abdeckung, Rollrost Typ 941-17-B (f.Q. 70%)</v>
      </c>
      <c r="C38" s="96"/>
      <c r="E38" s="97"/>
      <c r="F38" s="93"/>
      <c r="G38" s="93"/>
      <c r="H38" s="93"/>
      <c r="I38" s="97"/>
      <c r="J38" s="93"/>
      <c r="K38" s="97"/>
      <c r="L38" s="93"/>
      <c r="M38" s="97"/>
      <c r="N38" s="93"/>
      <c r="O38" s="98"/>
    </row>
    <row r="39" spans="2:15" s="76" customFormat="1" ht="12" x14ac:dyDescent="0.2">
      <c r="B39" s="76" t="str">
        <f>VLOOKUP(42,TXT_K,$G$3,0)</f>
        <v>Bei abweichenden Abdeckungen, ist mit einer Leistungsminderung zu rechnen</v>
      </c>
      <c r="C39" s="96"/>
      <c r="E39" s="97"/>
      <c r="F39" s="93"/>
      <c r="G39" s="93"/>
      <c r="H39" s="93"/>
      <c r="I39" s="97"/>
      <c r="J39" s="93"/>
      <c r="K39" s="97"/>
      <c r="L39" s="93"/>
      <c r="M39" s="97"/>
      <c r="N39" s="93"/>
      <c r="O39" s="98"/>
    </row>
    <row r="40" spans="2:15" s="74" customFormat="1" ht="12" x14ac:dyDescent="0.2">
      <c r="B40" s="76" t="str">
        <f>VLOOKUP(28,TXT_K,$G$3,0)</f>
        <v>Minimale Wassermassenströme von ca. 20 kg/h sollen eingehalten werden</v>
      </c>
    </row>
    <row r="41" spans="2:15" ht="9.75" customHeight="1" x14ac:dyDescent="0.25"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2:15" x14ac:dyDescent="0.25">
      <c r="B42" s="75" t="str">
        <f>VLOOKUP(35,TXT_K,$G$3,0)</f>
        <v>T4: Trockene Kühlung - 4-Leiter-System ohne Ablaufstutzen für Kondensat</v>
      </c>
      <c r="C42" s="6"/>
      <c r="D42" s="6"/>
      <c r="E42" s="6"/>
      <c r="F42" s="6"/>
      <c r="G42" s="6"/>
      <c r="H42" s="6"/>
      <c r="I42" s="6"/>
      <c r="J42" s="6"/>
      <c r="K42" s="6"/>
      <c r="M42" s="6"/>
      <c r="N42" s="6"/>
      <c r="O42" s="6"/>
    </row>
    <row r="43" spans="2:15" x14ac:dyDescent="0.25">
      <c r="B43" s="76" t="str">
        <f>VLOOKUP(5,TXT_K,$G$3,0)</f>
        <v>Qt [W]: Kühlleistung gesamt</v>
      </c>
      <c r="C43" s="6"/>
      <c r="D43" s="6"/>
      <c r="E43" s="6"/>
      <c r="F43" s="6"/>
      <c r="G43" s="6"/>
      <c r="H43" s="6"/>
      <c r="I43" s="6"/>
      <c r="M43" s="6"/>
      <c r="N43" s="6"/>
      <c r="O43" s="94" t="str">
        <f>VLOOKUP(26,TXT_K,$G$3,0)</f>
        <v>Querstromventilator Typ EC65  24VDC</v>
      </c>
    </row>
    <row r="44" spans="2:15" x14ac:dyDescent="0.25">
      <c r="B44" s="76" t="str">
        <f>VLOOKUP(6,TXT_K,$G$3,0)</f>
        <v>Qs [W]: Kühlleistung sensibel</v>
      </c>
      <c r="C44" s="6"/>
      <c r="D44" s="6"/>
      <c r="E44" s="6"/>
      <c r="F44" s="6"/>
      <c r="G44" s="6"/>
      <c r="H44" s="6"/>
      <c r="I44" s="6"/>
      <c r="J44" s="6"/>
      <c r="K44" s="6"/>
      <c r="M44" s="6"/>
      <c r="N44" s="6"/>
      <c r="O44" s="98" t="str">
        <f>VLOOKUP(10,TXT_K,$G$3,0)</f>
        <v>M: Anzahl Motoren</v>
      </c>
    </row>
    <row r="45" spans="2:15" x14ac:dyDescent="0.25">
      <c r="B45" s="74" t="str">
        <f>VLOOKUP(38,TXT_K,$G$3,0)</f>
        <v>X: Erweiterung des Bodenkanals um ein Regulierungsmodul zu integrieren</v>
      </c>
      <c r="C45" s="6"/>
      <c r="D45" s="6"/>
      <c r="E45" s="6"/>
      <c r="F45" s="6"/>
      <c r="G45" s="6"/>
      <c r="H45" s="6"/>
      <c r="I45" s="6"/>
      <c r="J45" s="6"/>
      <c r="K45" s="6"/>
      <c r="M45" s="6"/>
      <c r="N45" s="6"/>
      <c r="O45" s="98" t="str">
        <f>VLOOKUP(14,TXT_K,$G$3,0)</f>
        <v>QVw: Anzahl Ventilatoren-Walzen</v>
      </c>
    </row>
    <row r="46" spans="2:15" x14ac:dyDescent="0.25">
      <c r="B46" s="74" t="str">
        <f>VLOOKUP(33,TXT_K,$G$3,0)</f>
        <v>Die Zwischenlängen werden durch Leerstücke angepasst.</v>
      </c>
      <c r="C46" s="6"/>
      <c r="D46" s="6"/>
      <c r="E46" s="6"/>
      <c r="F46" s="6"/>
      <c r="G46" s="6"/>
      <c r="H46" s="6"/>
      <c r="I46" s="6"/>
      <c r="J46" s="6"/>
      <c r="K46" s="6"/>
      <c r="M46" s="6"/>
      <c r="N46" s="6"/>
      <c r="O46" s="98" t="str">
        <f>VLOOKUP(15,TXT_K,$G$3,0)</f>
        <v>ṁ: Wassermassenstrom [kg/h]</v>
      </c>
    </row>
    <row r="47" spans="2:15" x14ac:dyDescent="0.25">
      <c r="B47" s="74" t="str">
        <f>VLOOKUP(29,TXT_K,$G$3,0)</f>
        <v>Bei Veränderungen der Standardteile können Abweichungen entstehen</v>
      </c>
    </row>
    <row r="48" spans="2:15" x14ac:dyDescent="0.25"/>
    <row r="49" spans="15:15" x14ac:dyDescent="0.25"/>
    <row r="50" spans="15:15" x14ac:dyDescent="0.25"/>
    <row r="51" spans="15:15" x14ac:dyDescent="0.25"/>
    <row r="52" spans="15:15" x14ac:dyDescent="0.25"/>
    <row r="53" spans="15:15" x14ac:dyDescent="0.25"/>
    <row r="54" spans="15:15" x14ac:dyDescent="0.25">
      <c r="O54" s="73" t="s">
        <v>1050</v>
      </c>
    </row>
    <row r="55" spans="15:15" x14ac:dyDescent="0.25"/>
  </sheetData>
  <sheetProtection algorithmName="SHA-512" hashValue="toq4kywoJIGBq2E44lGwSzfpJQg35miJzHszSquufKnR+iOF8hcyTJod4mgFqDnYYlWa08/WeuxRlpH523Y+bg==" saltValue="6a1AszNh4q9DTmifKmgNdg==" spinCount="100000" sheet="1" objects="1" scenarios="1" selectLockedCells="1"/>
  <protectedRanges>
    <protectedRange sqref="C3:H5" name="Bereich1"/>
  </protectedRanges>
  <mergeCells count="32">
    <mergeCell ref="G2:H2"/>
    <mergeCell ref="G3:H5"/>
    <mergeCell ref="C2:D2"/>
    <mergeCell ref="C3:D3"/>
    <mergeCell ref="C4:D4"/>
    <mergeCell ref="C5:D5"/>
    <mergeCell ref="E2:F2"/>
    <mergeCell ref="E3:F3"/>
    <mergeCell ref="E4:F4"/>
    <mergeCell ref="E5:F5"/>
    <mergeCell ref="F28:N28"/>
    <mergeCell ref="E30:N30"/>
    <mergeCell ref="B20:B21"/>
    <mergeCell ref="C20:C21"/>
    <mergeCell ref="O20:O21"/>
    <mergeCell ref="B22:B23"/>
    <mergeCell ref="C22:C23"/>
    <mergeCell ref="O22:O23"/>
    <mergeCell ref="B16:B17"/>
    <mergeCell ref="C16:C17"/>
    <mergeCell ref="O16:O17"/>
    <mergeCell ref="B18:B19"/>
    <mergeCell ref="C18:C19"/>
    <mergeCell ref="O18:O19"/>
    <mergeCell ref="B14:B15"/>
    <mergeCell ref="C14:C15"/>
    <mergeCell ref="O14:O15"/>
    <mergeCell ref="F9:N9"/>
    <mergeCell ref="E11:N11"/>
    <mergeCell ref="B12:B13"/>
    <mergeCell ref="C12:C13"/>
    <mergeCell ref="O12:O13"/>
  </mergeCells>
  <conditionalFormatting sqref="C3:D5">
    <cfRule type="expression" dxfId="225" priority="2">
      <formula>$J$3&lt;&gt;""</formula>
    </cfRule>
  </conditionalFormatting>
  <conditionalFormatting sqref="E3:F5">
    <cfRule type="expression" dxfId="224" priority="1">
      <formula>$J$4&lt;&gt;""</formula>
    </cfRule>
  </conditionalFormatting>
  <dataValidations count="7">
    <dataValidation type="whole" allowBlank="1" showInputMessage="1" showErrorMessage="1" sqref="C3:D3" xr:uid="{714350A6-2731-4342-9ADD-6689EF222598}">
      <formula1>30</formula1>
      <formula2>90</formula2>
    </dataValidation>
    <dataValidation type="whole" allowBlank="1" showInputMessage="1" showErrorMessage="1" sqref="C4:D4" xr:uid="{518879FA-807F-4F81-89C3-94031CD93EBA}">
      <formula1>25</formula1>
      <formula2>85</formula2>
    </dataValidation>
    <dataValidation type="whole" allowBlank="1" showInputMessage="1" showErrorMessage="1" sqref="C5:D5" xr:uid="{F0F3C776-87EC-45A5-B0DE-C5059D41D57A}">
      <formula1>15</formula1>
      <formula2>29</formula2>
    </dataValidation>
    <dataValidation type="whole" allowBlank="1" showInputMessage="1" showErrorMessage="1" sqref="E3:F3" xr:uid="{A7AB7AC6-DFB5-4E99-AB8C-7275252A4E8C}">
      <formula1>4</formula1>
      <formula2>20</formula2>
    </dataValidation>
    <dataValidation type="whole" allowBlank="1" showInputMessage="1" showErrorMessage="1" sqref="E4:F4" xr:uid="{689FBEDF-BC50-46F5-A2AB-264793AA427F}">
      <formula1>6</formula1>
      <formula2>24</formula2>
    </dataValidation>
    <dataValidation type="whole" allowBlank="1" showInputMessage="1" showErrorMessage="1" sqref="E5:F5" xr:uid="{AF445B75-9045-45FF-A56B-FA71E3A04CF4}">
      <formula1>20</formula1>
      <formula2>30</formula2>
    </dataValidation>
    <dataValidation type="whole" allowBlank="1" showInputMessage="1" showErrorMessage="1" sqref="G3:H5" xr:uid="{C2FF8783-FC8A-4D94-819F-3A874FCDA194}">
      <formula1>2</formula1>
      <formula2>3</formula2>
    </dataValidation>
  </dataValidations>
  <pageMargins left="0.51181102362204722" right="0.31496062992125984" top="0.94488188976377963" bottom="0.55118110236220474" header="0.31496062992125984" footer="0.11811023622047245"/>
  <pageSetup paperSize="9" orientation="portrait" r:id="rId1"/>
  <headerFooter>
    <oddHeader>&amp;C&amp;G</oddHeader>
    <oddFooter>&amp;C&amp;G</oddFooter>
  </headerFooter>
  <ignoredErrors>
    <ignoredError sqref="E12:N36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" id="{B49DE098-15F7-469B-9593-5E6B25846D2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E12</xm:sqref>
        </x14:conditionalFormatting>
        <x14:conditionalFormatting xmlns:xm="http://schemas.microsoft.com/office/excel/2006/main">
          <x14:cfRule type="iconSet" priority="64" id="{1B4E80DE-7384-444B-B814-92D41E315EE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E14</xm:sqref>
        </x14:conditionalFormatting>
        <x14:conditionalFormatting xmlns:xm="http://schemas.microsoft.com/office/excel/2006/main">
          <x14:cfRule type="iconSet" priority="63" id="{001058C4-9C54-4811-9C92-228F7BC2062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E16</xm:sqref>
        </x14:conditionalFormatting>
        <x14:conditionalFormatting xmlns:xm="http://schemas.microsoft.com/office/excel/2006/main">
          <x14:cfRule type="iconSet" priority="62" id="{BB6BAA83-77CA-4410-A790-F3FC76BD48B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</xm:sqref>
        </x14:conditionalFormatting>
        <x14:conditionalFormatting xmlns:xm="http://schemas.microsoft.com/office/excel/2006/main">
          <x14:cfRule type="iconSet" priority="61" id="{AA239386-B0EE-4ACC-8AA9-E62C699C00A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</xm:sqref>
        </x14:conditionalFormatting>
        <x14:conditionalFormatting xmlns:xm="http://schemas.microsoft.com/office/excel/2006/main">
          <x14:cfRule type="iconSet" priority="60" id="{398156AF-CDC8-4904-8871-401EA32DDE6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</xm:sqref>
        </x14:conditionalFormatting>
        <x14:conditionalFormatting xmlns:xm="http://schemas.microsoft.com/office/excel/2006/main">
          <x14:cfRule type="iconSet" priority="41" id="{2564ABC4-2820-4D9B-A4BF-ED322283055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E31</xm:sqref>
        </x14:conditionalFormatting>
        <x14:conditionalFormatting xmlns:xm="http://schemas.microsoft.com/office/excel/2006/main">
          <x14:cfRule type="iconSet" priority="40" id="{D1840C1B-ED86-45FD-944C-F285EA98C04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</xm:sqref>
        </x14:conditionalFormatting>
        <x14:conditionalFormatting xmlns:xm="http://schemas.microsoft.com/office/excel/2006/main">
          <x14:cfRule type="iconSet" priority="39" id="{1CB7BF05-4232-46CD-825E-72E86B988D4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E33</xm:sqref>
        </x14:conditionalFormatting>
        <x14:conditionalFormatting xmlns:xm="http://schemas.microsoft.com/office/excel/2006/main">
          <x14:cfRule type="iconSet" priority="38" id="{19DA2261-9749-4796-AEEB-F257E2A57E2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</xm:sqref>
        </x14:conditionalFormatting>
        <x14:conditionalFormatting xmlns:xm="http://schemas.microsoft.com/office/excel/2006/main">
          <x14:cfRule type="iconSet" priority="37" id="{01A1AC2B-72EB-42EE-9470-8241FFCACEA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E35</xm:sqref>
        </x14:conditionalFormatting>
        <x14:conditionalFormatting xmlns:xm="http://schemas.microsoft.com/office/excel/2006/main">
          <x14:cfRule type="iconSet" priority="36" id="{F3D9B6D7-1E28-4860-9A3C-540C6F5E0C3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E36:E39</xm:sqref>
        </x14:conditionalFormatting>
        <x14:conditionalFormatting xmlns:xm="http://schemas.microsoft.com/office/excel/2006/main">
          <x14:cfRule type="iconSet" priority="14" id="{3E9D45C5-610B-4406-8B41-1561FCCFE9C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G12</xm:sqref>
        </x14:conditionalFormatting>
        <x14:conditionalFormatting xmlns:xm="http://schemas.microsoft.com/office/excel/2006/main">
          <x14:cfRule type="iconSet" priority="13" id="{B1A4681E-9D3A-49B1-9EE0-FCB4A4CF2A5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G14</xm:sqref>
        </x14:conditionalFormatting>
        <x14:conditionalFormatting xmlns:xm="http://schemas.microsoft.com/office/excel/2006/main">
          <x14:cfRule type="iconSet" priority="12" id="{D57A37DB-9F70-4588-A03E-E48D91642B6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G16</xm:sqref>
        </x14:conditionalFormatting>
        <x14:conditionalFormatting xmlns:xm="http://schemas.microsoft.com/office/excel/2006/main">
          <x14:cfRule type="iconSet" priority="11" id="{BEFA5598-3853-44CD-96DE-9499B9C0980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G18</xm:sqref>
        </x14:conditionalFormatting>
        <x14:conditionalFormatting xmlns:xm="http://schemas.microsoft.com/office/excel/2006/main">
          <x14:cfRule type="iconSet" priority="10" id="{482E1151-0585-4F03-86E2-68E3BA54A4E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G20</xm:sqref>
        </x14:conditionalFormatting>
        <x14:conditionalFormatting xmlns:xm="http://schemas.microsoft.com/office/excel/2006/main">
          <x14:cfRule type="iconSet" priority="9" id="{AA2DA551-F136-4F51-8D19-FFB256CBCDF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G22</xm:sqref>
        </x14:conditionalFormatting>
        <x14:conditionalFormatting xmlns:xm="http://schemas.microsoft.com/office/excel/2006/main">
          <x14:cfRule type="iconSet" priority="8" id="{0B7DFA60-44C1-4FF7-85D5-AFB530A939E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G31</xm:sqref>
        </x14:conditionalFormatting>
        <x14:conditionalFormatting xmlns:xm="http://schemas.microsoft.com/office/excel/2006/main">
          <x14:cfRule type="iconSet" priority="7" id="{BC1ECB6C-47A7-4D7C-8ED1-784EB2DD408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G32</xm:sqref>
        </x14:conditionalFormatting>
        <x14:conditionalFormatting xmlns:xm="http://schemas.microsoft.com/office/excel/2006/main">
          <x14:cfRule type="iconSet" priority="6" id="{D436E515-6F20-4053-A9A3-5C7DAB58FE2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G33</xm:sqref>
        </x14:conditionalFormatting>
        <x14:conditionalFormatting xmlns:xm="http://schemas.microsoft.com/office/excel/2006/main">
          <x14:cfRule type="iconSet" priority="5" id="{93E1763A-229A-4BED-AA77-E9F4568046F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G34</xm:sqref>
        </x14:conditionalFormatting>
        <x14:conditionalFormatting xmlns:xm="http://schemas.microsoft.com/office/excel/2006/main">
          <x14:cfRule type="iconSet" priority="4" id="{7228E78E-6450-4F51-B14C-19E9E16BE53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G35</xm:sqref>
        </x14:conditionalFormatting>
        <x14:conditionalFormatting xmlns:xm="http://schemas.microsoft.com/office/excel/2006/main">
          <x14:cfRule type="iconSet" priority="3" id="{0C1403B4-EBDA-4635-8E7F-EC874BD9606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G36</xm:sqref>
        </x14:conditionalFormatting>
        <x14:conditionalFormatting xmlns:xm="http://schemas.microsoft.com/office/excel/2006/main">
          <x14:cfRule type="iconSet" priority="59" id="{F180F4A2-643C-4DA2-977B-C672A454729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I12</xm:sqref>
        </x14:conditionalFormatting>
        <x14:conditionalFormatting xmlns:xm="http://schemas.microsoft.com/office/excel/2006/main">
          <x14:cfRule type="iconSet" priority="58" id="{58BA9089-D26E-464A-814A-C7355532B88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I14</xm:sqref>
        </x14:conditionalFormatting>
        <x14:conditionalFormatting xmlns:xm="http://schemas.microsoft.com/office/excel/2006/main">
          <x14:cfRule type="iconSet" priority="57" id="{BF86C8F0-E6E2-432F-8337-ED10C7B9386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56" id="{CD919F57-5988-48F6-B0D5-A4508BC806A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I18</xm:sqref>
        </x14:conditionalFormatting>
        <x14:conditionalFormatting xmlns:xm="http://schemas.microsoft.com/office/excel/2006/main">
          <x14:cfRule type="iconSet" priority="55" id="{9512A386-229D-4E27-8D25-FB69C7FB1B9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I20</xm:sqref>
        </x14:conditionalFormatting>
        <x14:conditionalFormatting xmlns:xm="http://schemas.microsoft.com/office/excel/2006/main">
          <x14:cfRule type="iconSet" priority="54" id="{4C171B01-D192-4B8E-8FDE-E9CD23AE9E3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I22</xm:sqref>
        </x14:conditionalFormatting>
        <x14:conditionalFormatting xmlns:xm="http://schemas.microsoft.com/office/excel/2006/main">
          <x14:cfRule type="iconSet" priority="35" id="{46D7899D-7234-4E90-91D0-91A241DDA52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I31</xm:sqref>
        </x14:conditionalFormatting>
        <x14:conditionalFormatting xmlns:xm="http://schemas.microsoft.com/office/excel/2006/main">
          <x14:cfRule type="iconSet" priority="34" id="{74AB490E-B94C-4864-B46D-F2DE3C2B985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I32</xm:sqref>
        </x14:conditionalFormatting>
        <x14:conditionalFormatting xmlns:xm="http://schemas.microsoft.com/office/excel/2006/main">
          <x14:cfRule type="iconSet" priority="33" id="{35F374D8-9178-4728-A5BB-8409031E719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I33</xm:sqref>
        </x14:conditionalFormatting>
        <x14:conditionalFormatting xmlns:xm="http://schemas.microsoft.com/office/excel/2006/main">
          <x14:cfRule type="iconSet" priority="32" id="{C1651406-BFF4-435D-9C21-743E44EE985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I34</xm:sqref>
        </x14:conditionalFormatting>
        <x14:conditionalFormatting xmlns:xm="http://schemas.microsoft.com/office/excel/2006/main">
          <x14:cfRule type="iconSet" priority="31" id="{CA2A1971-87FA-44AC-8BAE-FBF989DD233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I35</xm:sqref>
        </x14:conditionalFormatting>
        <x14:conditionalFormatting xmlns:xm="http://schemas.microsoft.com/office/excel/2006/main">
          <x14:cfRule type="iconSet" priority="30" id="{1199703F-F80A-4719-9BFD-28D5E4A2EB1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I36</xm:sqref>
        </x14:conditionalFormatting>
        <x14:conditionalFormatting xmlns:xm="http://schemas.microsoft.com/office/excel/2006/main">
          <x14:cfRule type="iconSet" priority="17" id="{CAC83641-5F3E-463E-B71F-4B0A14D88C7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I37:I39</xm:sqref>
        </x14:conditionalFormatting>
        <x14:conditionalFormatting xmlns:xm="http://schemas.microsoft.com/office/excel/2006/main">
          <x14:cfRule type="iconSet" priority="53" id="{522F9282-15C1-4360-A37C-8068873D52D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K12</xm:sqref>
        </x14:conditionalFormatting>
        <x14:conditionalFormatting xmlns:xm="http://schemas.microsoft.com/office/excel/2006/main">
          <x14:cfRule type="iconSet" priority="52" id="{5DC76B20-2D60-4936-8286-4C02F8D8DC6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K14</xm:sqref>
        </x14:conditionalFormatting>
        <x14:conditionalFormatting xmlns:xm="http://schemas.microsoft.com/office/excel/2006/main">
          <x14:cfRule type="iconSet" priority="51" id="{6069A0D0-212E-4AA0-9152-317BC06BC0F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K16</xm:sqref>
        </x14:conditionalFormatting>
        <x14:conditionalFormatting xmlns:xm="http://schemas.microsoft.com/office/excel/2006/main">
          <x14:cfRule type="iconSet" priority="50" id="{917EDC30-9E61-47FF-B6D2-A46D934FEF8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K18</xm:sqref>
        </x14:conditionalFormatting>
        <x14:conditionalFormatting xmlns:xm="http://schemas.microsoft.com/office/excel/2006/main">
          <x14:cfRule type="iconSet" priority="49" id="{40EB17FD-0EEA-4BEE-995B-96BADA73BEF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K20</xm:sqref>
        </x14:conditionalFormatting>
        <x14:conditionalFormatting xmlns:xm="http://schemas.microsoft.com/office/excel/2006/main">
          <x14:cfRule type="iconSet" priority="48" id="{F5865332-A27C-4E2D-838F-92EB0975A8E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K22</xm:sqref>
        </x14:conditionalFormatting>
        <x14:conditionalFormatting xmlns:xm="http://schemas.microsoft.com/office/excel/2006/main">
          <x14:cfRule type="iconSet" priority="29" id="{08E3FA87-720C-40E5-A122-06C59E730DF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K31</xm:sqref>
        </x14:conditionalFormatting>
        <x14:conditionalFormatting xmlns:xm="http://schemas.microsoft.com/office/excel/2006/main">
          <x14:cfRule type="iconSet" priority="28" id="{EE4363D7-2697-4484-945C-20260DC838F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K32</xm:sqref>
        </x14:conditionalFormatting>
        <x14:conditionalFormatting xmlns:xm="http://schemas.microsoft.com/office/excel/2006/main">
          <x14:cfRule type="iconSet" priority="27" id="{47450D20-AB33-49F3-A382-08DA0B07075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K33</xm:sqref>
        </x14:conditionalFormatting>
        <x14:conditionalFormatting xmlns:xm="http://schemas.microsoft.com/office/excel/2006/main">
          <x14:cfRule type="iconSet" priority="26" id="{C6810AA3-84C4-493F-B06C-906FA12244F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K34</xm:sqref>
        </x14:conditionalFormatting>
        <x14:conditionalFormatting xmlns:xm="http://schemas.microsoft.com/office/excel/2006/main">
          <x14:cfRule type="iconSet" priority="25" id="{1EEA6F85-21DF-4AB6-8A3A-AAA20C25E62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K35</xm:sqref>
        </x14:conditionalFormatting>
        <x14:conditionalFormatting xmlns:xm="http://schemas.microsoft.com/office/excel/2006/main">
          <x14:cfRule type="iconSet" priority="24" id="{132EB3B0-84C5-4475-BACB-DBB3A48663F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K36</xm:sqref>
        </x14:conditionalFormatting>
        <x14:conditionalFormatting xmlns:xm="http://schemas.microsoft.com/office/excel/2006/main">
          <x14:cfRule type="iconSet" priority="16" id="{D0994545-E9F5-4CF2-86FD-D0A79438F41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K37:K39</xm:sqref>
        </x14:conditionalFormatting>
        <x14:conditionalFormatting xmlns:xm="http://schemas.microsoft.com/office/excel/2006/main">
          <x14:cfRule type="iconSet" priority="47" id="{C0E25D09-14A2-4E0B-9981-0F03998345D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M12</xm:sqref>
        </x14:conditionalFormatting>
        <x14:conditionalFormatting xmlns:xm="http://schemas.microsoft.com/office/excel/2006/main">
          <x14:cfRule type="iconSet" priority="46" id="{276B2BD5-597B-4F00-B2C7-ADD5A5B9389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M14</xm:sqref>
        </x14:conditionalFormatting>
        <x14:conditionalFormatting xmlns:xm="http://schemas.microsoft.com/office/excel/2006/main">
          <x14:cfRule type="iconSet" priority="45" id="{464E77CA-FF27-439B-91D6-FD49DC06A23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M16</xm:sqref>
        </x14:conditionalFormatting>
        <x14:conditionalFormatting xmlns:xm="http://schemas.microsoft.com/office/excel/2006/main">
          <x14:cfRule type="iconSet" priority="44" id="{2F675DD3-EEBF-48F5-AEE3-2BC8B5D378D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M18</xm:sqref>
        </x14:conditionalFormatting>
        <x14:conditionalFormatting xmlns:xm="http://schemas.microsoft.com/office/excel/2006/main">
          <x14:cfRule type="iconSet" priority="43" id="{530D8821-E4D9-4982-929D-4F1A6B017EB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M20</xm:sqref>
        </x14:conditionalFormatting>
        <x14:conditionalFormatting xmlns:xm="http://schemas.microsoft.com/office/excel/2006/main">
          <x14:cfRule type="iconSet" priority="42" id="{DE9E23E2-9E6E-46B9-A50B-C5011ADDF7CC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M22</xm:sqref>
        </x14:conditionalFormatting>
        <x14:conditionalFormatting xmlns:xm="http://schemas.microsoft.com/office/excel/2006/main">
          <x14:cfRule type="iconSet" priority="23" id="{E206C6C9-85A2-42E7-83EF-A328FC13907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M31</xm:sqref>
        </x14:conditionalFormatting>
        <x14:conditionalFormatting xmlns:xm="http://schemas.microsoft.com/office/excel/2006/main">
          <x14:cfRule type="iconSet" priority="22" id="{D7C7A4B9-AA50-4D51-B482-398839F97C9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M32</xm:sqref>
        </x14:conditionalFormatting>
        <x14:conditionalFormatting xmlns:xm="http://schemas.microsoft.com/office/excel/2006/main">
          <x14:cfRule type="iconSet" priority="21" id="{090631AF-BF8C-4697-9F96-F33DD3F0839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M33</xm:sqref>
        </x14:conditionalFormatting>
        <x14:conditionalFormatting xmlns:xm="http://schemas.microsoft.com/office/excel/2006/main">
          <x14:cfRule type="iconSet" priority="20" id="{86138C86-53C2-47D8-B765-C77C755DB96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M34</xm:sqref>
        </x14:conditionalFormatting>
        <x14:conditionalFormatting xmlns:xm="http://schemas.microsoft.com/office/excel/2006/main">
          <x14:cfRule type="iconSet" priority="19" id="{6DBC24CC-A4C1-4CB4-9902-2938C7CFE6F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M35</xm:sqref>
        </x14:conditionalFormatting>
        <x14:conditionalFormatting xmlns:xm="http://schemas.microsoft.com/office/excel/2006/main">
          <x14:cfRule type="iconSet" priority="18" id="{A0AED416-5A4F-4188-8997-CA1360DF29B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M36</xm:sqref>
        </x14:conditionalFormatting>
        <x14:conditionalFormatting xmlns:xm="http://schemas.microsoft.com/office/excel/2006/main">
          <x14:cfRule type="iconSet" priority="15" id="{9206A479-59C2-412D-A73B-A134BA94669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M37:M39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FA6C1-E687-4E1A-B726-A85C3E70B996}">
  <dimension ref="A1:U21"/>
  <sheetViews>
    <sheetView workbookViewId="0">
      <selection activeCell="F3" sqref="F3:G3"/>
    </sheetView>
  </sheetViews>
  <sheetFormatPr baseColWidth="10" defaultRowHeight="12.75" x14ac:dyDescent="0.2"/>
  <cols>
    <col min="1" max="9" width="11.42578125" style="101"/>
    <col min="10" max="10" width="13.85546875" style="101" customWidth="1"/>
    <col min="11" max="11" width="12.85546875" style="101" customWidth="1"/>
    <col min="12" max="16384" width="11.42578125" style="101"/>
  </cols>
  <sheetData>
    <row r="1" spans="1:21" x14ac:dyDescent="0.2">
      <c r="B1" s="101" t="s">
        <v>1143</v>
      </c>
      <c r="C1" s="102" t="s">
        <v>1152</v>
      </c>
      <c r="D1" s="102" t="s">
        <v>1153</v>
      </c>
      <c r="E1" s="102" t="s">
        <v>1154</v>
      </c>
      <c r="F1" s="102" t="s">
        <v>1155</v>
      </c>
      <c r="G1" s="102" t="s">
        <v>1156</v>
      </c>
      <c r="H1" s="102" t="s">
        <v>1157</v>
      </c>
      <c r="I1" s="102" t="s">
        <v>1158</v>
      </c>
      <c r="J1" s="101" t="s">
        <v>1141</v>
      </c>
      <c r="K1" s="101" t="s">
        <v>1159</v>
      </c>
      <c r="M1" s="101" t="s">
        <v>1160</v>
      </c>
      <c r="N1" s="101" t="s">
        <v>1143</v>
      </c>
      <c r="O1" s="101" t="s">
        <v>1144</v>
      </c>
      <c r="P1" s="101" t="s">
        <v>1145</v>
      </c>
      <c r="Q1" s="101" t="s">
        <v>1146</v>
      </c>
      <c r="R1" s="101" t="s">
        <v>1147</v>
      </c>
      <c r="S1" s="101" t="s">
        <v>1148</v>
      </c>
      <c r="T1" s="101" t="s">
        <v>1149</v>
      </c>
      <c r="U1" s="101" t="s">
        <v>1150</v>
      </c>
    </row>
    <row r="2" spans="1:21" x14ac:dyDescent="0.2">
      <c r="A2" s="101">
        <v>750</v>
      </c>
      <c r="C2" s="101">
        <v>122</v>
      </c>
      <c r="D2" s="101">
        <v>151</v>
      </c>
      <c r="E2" s="101">
        <v>156</v>
      </c>
      <c r="F2" s="101">
        <v>201</v>
      </c>
      <c r="G2" s="101">
        <v>214</v>
      </c>
      <c r="H2" s="101">
        <v>231</v>
      </c>
      <c r="I2" s="101">
        <v>265</v>
      </c>
      <c r="J2" s="101">
        <v>520</v>
      </c>
      <c r="K2" s="101">
        <f>SUM(J2-90)</f>
        <v>430</v>
      </c>
      <c r="N2" s="101">
        <v>220</v>
      </c>
      <c r="O2" s="101">
        <v>259</v>
      </c>
      <c r="P2" s="101">
        <v>317</v>
      </c>
      <c r="Q2" s="101">
        <v>326</v>
      </c>
      <c r="R2" s="101">
        <v>363</v>
      </c>
      <c r="S2" s="101">
        <v>385</v>
      </c>
      <c r="T2" s="101">
        <v>472</v>
      </c>
      <c r="U2" s="101">
        <v>542</v>
      </c>
    </row>
    <row r="3" spans="1:21" x14ac:dyDescent="0.2">
      <c r="A3" s="101">
        <v>850</v>
      </c>
      <c r="C3" s="101">
        <v>152</v>
      </c>
      <c r="D3" s="101">
        <v>189</v>
      </c>
      <c r="E3" s="101">
        <v>195</v>
      </c>
      <c r="F3" s="101">
        <v>251</v>
      </c>
      <c r="G3" s="101">
        <v>268</v>
      </c>
      <c r="H3" s="101">
        <v>288</v>
      </c>
      <c r="I3" s="101">
        <v>331</v>
      </c>
      <c r="J3" s="101">
        <v>620</v>
      </c>
      <c r="K3" s="101">
        <f t="shared" ref="K3:K21" si="0">SUM(J3-90)</f>
        <v>530</v>
      </c>
    </row>
    <row r="4" spans="1:21" x14ac:dyDescent="0.2">
      <c r="A4" s="101">
        <v>950</v>
      </c>
      <c r="C4" s="101">
        <v>183</v>
      </c>
      <c r="D4" s="101">
        <v>226</v>
      </c>
      <c r="E4" s="101">
        <v>233</v>
      </c>
      <c r="F4" s="101">
        <v>301</v>
      </c>
      <c r="G4" s="101">
        <v>321</v>
      </c>
      <c r="H4" s="101">
        <v>346</v>
      </c>
      <c r="I4" s="101">
        <v>397</v>
      </c>
      <c r="J4" s="101">
        <v>720</v>
      </c>
      <c r="K4" s="101">
        <f t="shared" si="0"/>
        <v>630</v>
      </c>
    </row>
    <row r="5" spans="1:21" x14ac:dyDescent="0.2">
      <c r="A5" s="101">
        <v>1050</v>
      </c>
      <c r="C5" s="101">
        <v>213</v>
      </c>
      <c r="D5" s="101">
        <v>264</v>
      </c>
      <c r="E5" s="101">
        <v>272</v>
      </c>
      <c r="F5" s="101">
        <v>351</v>
      </c>
      <c r="G5" s="101">
        <v>374</v>
      </c>
      <c r="H5" s="101">
        <v>403</v>
      </c>
      <c r="I5" s="101">
        <v>463</v>
      </c>
      <c r="J5" s="101">
        <v>820</v>
      </c>
      <c r="K5" s="101">
        <f t="shared" si="0"/>
        <v>730</v>
      </c>
    </row>
    <row r="6" spans="1:21" x14ac:dyDescent="0.2">
      <c r="A6" s="101">
        <v>1150</v>
      </c>
      <c r="C6" s="101">
        <v>243</v>
      </c>
      <c r="D6" s="101">
        <v>302</v>
      </c>
      <c r="E6" s="101">
        <v>312</v>
      </c>
      <c r="F6" s="101">
        <v>402</v>
      </c>
      <c r="G6" s="101">
        <v>429</v>
      </c>
      <c r="H6" s="101">
        <v>462</v>
      </c>
      <c r="I6" s="101">
        <v>530</v>
      </c>
      <c r="J6" s="101">
        <v>920</v>
      </c>
      <c r="K6" s="101">
        <f t="shared" si="0"/>
        <v>830</v>
      </c>
    </row>
    <row r="7" spans="1:21" x14ac:dyDescent="0.2">
      <c r="A7" s="101">
        <v>1250</v>
      </c>
      <c r="C7" s="101">
        <v>274</v>
      </c>
      <c r="D7" s="101">
        <v>339</v>
      </c>
      <c r="E7" s="101">
        <v>350</v>
      </c>
      <c r="F7" s="101">
        <v>452</v>
      </c>
      <c r="G7" s="101">
        <v>482</v>
      </c>
      <c r="H7" s="101">
        <v>519</v>
      </c>
      <c r="I7" s="101">
        <v>596</v>
      </c>
      <c r="J7" s="101">
        <v>1020</v>
      </c>
      <c r="K7" s="101">
        <f t="shared" si="0"/>
        <v>930</v>
      </c>
    </row>
    <row r="8" spans="1:21" x14ac:dyDescent="0.2">
      <c r="A8" s="101">
        <v>1350</v>
      </c>
      <c r="C8" s="101">
        <v>304</v>
      </c>
      <c r="D8" s="101">
        <v>377</v>
      </c>
      <c r="E8" s="101">
        <v>389</v>
      </c>
      <c r="F8" s="101">
        <v>502</v>
      </c>
      <c r="G8" s="101">
        <v>535</v>
      </c>
      <c r="H8" s="101">
        <v>577</v>
      </c>
      <c r="I8" s="101">
        <v>662</v>
      </c>
      <c r="J8" s="101">
        <v>1120</v>
      </c>
      <c r="K8" s="101">
        <f t="shared" si="0"/>
        <v>1030</v>
      </c>
    </row>
    <row r="9" spans="1:21" x14ac:dyDescent="0.2">
      <c r="A9" s="101">
        <v>1550</v>
      </c>
      <c r="C9" s="101">
        <v>365</v>
      </c>
      <c r="D9" s="101">
        <v>452</v>
      </c>
      <c r="E9" s="101">
        <v>466</v>
      </c>
      <c r="F9" s="101">
        <v>602</v>
      </c>
      <c r="G9" s="101">
        <v>642</v>
      </c>
      <c r="H9" s="101">
        <v>692</v>
      </c>
      <c r="I9" s="101">
        <v>794</v>
      </c>
      <c r="J9" s="101">
        <v>1320</v>
      </c>
      <c r="K9" s="101">
        <f t="shared" si="0"/>
        <v>1230</v>
      </c>
    </row>
    <row r="10" spans="1:21" x14ac:dyDescent="0.2">
      <c r="A10" s="101">
        <v>1750</v>
      </c>
      <c r="C10" s="101">
        <v>426</v>
      </c>
      <c r="D10" s="101">
        <v>528</v>
      </c>
      <c r="E10" s="101">
        <v>545</v>
      </c>
      <c r="F10" s="101">
        <v>703</v>
      </c>
      <c r="G10" s="101">
        <v>750</v>
      </c>
      <c r="H10" s="101">
        <v>808</v>
      </c>
      <c r="I10" s="101">
        <v>927</v>
      </c>
      <c r="J10" s="101">
        <v>1520</v>
      </c>
      <c r="K10" s="101">
        <f t="shared" si="0"/>
        <v>1430</v>
      </c>
    </row>
    <row r="11" spans="1:21" x14ac:dyDescent="0.2">
      <c r="A11" s="101">
        <v>1950</v>
      </c>
      <c r="C11" s="101">
        <v>487</v>
      </c>
      <c r="D11" s="101">
        <v>603</v>
      </c>
      <c r="E11" s="101">
        <v>622</v>
      </c>
      <c r="F11" s="101">
        <v>804</v>
      </c>
      <c r="G11" s="101">
        <v>857</v>
      </c>
      <c r="H11" s="101">
        <v>923</v>
      </c>
      <c r="I11" s="101">
        <v>1059</v>
      </c>
      <c r="J11" s="101">
        <v>1720</v>
      </c>
      <c r="K11" s="101">
        <f t="shared" si="0"/>
        <v>1630</v>
      </c>
    </row>
    <row r="12" spans="1:21" x14ac:dyDescent="0.2">
      <c r="A12" s="101">
        <v>2150</v>
      </c>
      <c r="C12" s="101">
        <v>547</v>
      </c>
      <c r="D12" s="101">
        <v>679</v>
      </c>
      <c r="E12" s="101">
        <v>701</v>
      </c>
      <c r="F12" s="101">
        <v>905</v>
      </c>
      <c r="G12" s="101">
        <v>964</v>
      </c>
      <c r="H12" s="101">
        <v>1038</v>
      </c>
      <c r="I12" s="101">
        <v>1192</v>
      </c>
      <c r="J12" s="101">
        <v>1920</v>
      </c>
      <c r="K12" s="101">
        <f t="shared" si="0"/>
        <v>1830</v>
      </c>
    </row>
    <row r="13" spans="1:21" x14ac:dyDescent="0.2">
      <c r="A13" s="101">
        <v>2350</v>
      </c>
      <c r="C13" s="101">
        <v>608</v>
      </c>
      <c r="D13" s="101">
        <v>754</v>
      </c>
      <c r="E13" s="101">
        <v>778</v>
      </c>
      <c r="F13" s="101">
        <v>1005</v>
      </c>
      <c r="G13" s="101">
        <v>1071</v>
      </c>
      <c r="H13" s="101">
        <v>1153</v>
      </c>
      <c r="I13" s="101">
        <v>1324</v>
      </c>
      <c r="J13" s="101">
        <v>2120</v>
      </c>
      <c r="K13" s="101">
        <f t="shared" si="0"/>
        <v>2030</v>
      </c>
    </row>
    <row r="14" spans="1:21" x14ac:dyDescent="0.2">
      <c r="A14" s="101">
        <v>2550</v>
      </c>
      <c r="C14" s="101">
        <v>670</v>
      </c>
      <c r="D14" s="101">
        <v>829</v>
      </c>
      <c r="E14" s="101">
        <v>856</v>
      </c>
      <c r="F14" s="101">
        <v>1105</v>
      </c>
      <c r="G14" s="101">
        <v>1178</v>
      </c>
      <c r="H14" s="101">
        <v>1268</v>
      </c>
      <c r="I14" s="101">
        <v>1456</v>
      </c>
      <c r="J14" s="101">
        <v>2320</v>
      </c>
      <c r="K14" s="101">
        <f t="shared" si="0"/>
        <v>2230</v>
      </c>
    </row>
    <row r="15" spans="1:21" x14ac:dyDescent="0.2">
      <c r="A15" s="101">
        <v>2750</v>
      </c>
      <c r="C15" s="101">
        <v>730</v>
      </c>
      <c r="D15" s="101">
        <v>905</v>
      </c>
      <c r="E15" s="101">
        <v>934</v>
      </c>
      <c r="F15" s="101">
        <v>1206</v>
      </c>
      <c r="G15" s="101">
        <v>1285</v>
      </c>
      <c r="H15" s="101">
        <v>1384</v>
      </c>
      <c r="I15" s="101">
        <v>1589</v>
      </c>
      <c r="J15" s="101">
        <v>2520</v>
      </c>
      <c r="K15" s="101">
        <f t="shared" si="0"/>
        <v>2430</v>
      </c>
    </row>
    <row r="16" spans="1:21" x14ac:dyDescent="0.2">
      <c r="A16" s="101">
        <v>2950</v>
      </c>
      <c r="C16" s="101">
        <v>791</v>
      </c>
      <c r="D16" s="101">
        <v>980</v>
      </c>
      <c r="E16" s="101">
        <v>1011</v>
      </c>
      <c r="F16" s="101">
        <v>1306</v>
      </c>
      <c r="G16" s="101">
        <v>1392</v>
      </c>
      <c r="H16" s="101">
        <v>1499</v>
      </c>
      <c r="I16" s="101">
        <v>1721</v>
      </c>
      <c r="J16" s="101">
        <v>2720</v>
      </c>
      <c r="K16" s="101">
        <f t="shared" si="0"/>
        <v>2630</v>
      </c>
    </row>
    <row r="17" spans="1:11" x14ac:dyDescent="0.2">
      <c r="A17" s="101">
        <v>3150</v>
      </c>
      <c r="C17" s="101">
        <v>851</v>
      </c>
      <c r="D17" s="101">
        <v>1056</v>
      </c>
      <c r="E17" s="101">
        <v>1090</v>
      </c>
      <c r="F17" s="101">
        <v>1407</v>
      </c>
      <c r="G17" s="101">
        <v>1500</v>
      </c>
      <c r="H17" s="101">
        <v>1615</v>
      </c>
      <c r="I17" s="101">
        <v>1854</v>
      </c>
      <c r="J17" s="101">
        <v>2920</v>
      </c>
      <c r="K17" s="101">
        <f t="shared" si="0"/>
        <v>2830</v>
      </c>
    </row>
    <row r="18" spans="1:11" x14ac:dyDescent="0.2">
      <c r="A18" s="101">
        <v>3350</v>
      </c>
      <c r="C18" s="101">
        <v>913</v>
      </c>
      <c r="D18" s="101">
        <v>1131</v>
      </c>
      <c r="E18" s="101">
        <v>1167</v>
      </c>
      <c r="F18" s="101">
        <v>1507</v>
      </c>
      <c r="G18" s="101">
        <v>1606</v>
      </c>
      <c r="H18" s="101">
        <v>1730</v>
      </c>
      <c r="I18" s="101">
        <v>1986</v>
      </c>
      <c r="J18" s="101">
        <v>3120</v>
      </c>
      <c r="K18" s="101">
        <f t="shared" si="0"/>
        <v>3030</v>
      </c>
    </row>
    <row r="19" spans="1:11" x14ac:dyDescent="0.2">
      <c r="A19" s="101">
        <v>3550</v>
      </c>
      <c r="C19" s="101">
        <v>974</v>
      </c>
      <c r="D19" s="101">
        <v>1207</v>
      </c>
      <c r="E19" s="101">
        <v>1245</v>
      </c>
      <c r="F19" s="101">
        <v>1607</v>
      </c>
      <c r="G19" s="101">
        <v>1713</v>
      </c>
      <c r="H19" s="101">
        <v>1845</v>
      </c>
      <c r="I19" s="101">
        <v>2119</v>
      </c>
      <c r="J19" s="101">
        <v>3320</v>
      </c>
      <c r="K19" s="101">
        <f t="shared" si="0"/>
        <v>3230</v>
      </c>
    </row>
    <row r="20" spans="1:11" x14ac:dyDescent="0.2">
      <c r="A20" s="101">
        <v>3750</v>
      </c>
      <c r="C20" s="101">
        <v>1034</v>
      </c>
      <c r="D20" s="101">
        <v>1283</v>
      </c>
      <c r="E20" s="101">
        <v>1323</v>
      </c>
      <c r="F20" s="101">
        <v>1708</v>
      </c>
      <c r="G20" s="101">
        <v>1821</v>
      </c>
      <c r="H20" s="101">
        <v>1961</v>
      </c>
      <c r="I20" s="101">
        <v>2252</v>
      </c>
      <c r="J20" s="101">
        <v>3520</v>
      </c>
      <c r="K20" s="101">
        <f t="shared" si="0"/>
        <v>3430</v>
      </c>
    </row>
    <row r="21" spans="1:11" x14ac:dyDescent="0.2">
      <c r="A21" s="101">
        <v>3950</v>
      </c>
      <c r="C21" s="101">
        <v>1095</v>
      </c>
      <c r="D21" s="101">
        <v>1358</v>
      </c>
      <c r="E21" s="101">
        <v>1400</v>
      </c>
      <c r="F21" s="101">
        <v>1808</v>
      </c>
      <c r="G21" s="101">
        <v>1927</v>
      </c>
      <c r="H21" s="101">
        <v>2076</v>
      </c>
      <c r="I21" s="101">
        <v>2384</v>
      </c>
      <c r="J21" s="101">
        <v>3720</v>
      </c>
      <c r="K21" s="101">
        <f t="shared" si="0"/>
        <v>3630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55"/>
  <sheetViews>
    <sheetView showGridLines="0" showRowColHeaders="0" workbookViewId="0">
      <selection activeCell="D3" sqref="D3:E3"/>
    </sheetView>
  </sheetViews>
  <sheetFormatPr baseColWidth="10" defaultColWidth="0" defaultRowHeight="15" zeroHeight="1" x14ac:dyDescent="0.25"/>
  <cols>
    <col min="1" max="1" width="3.28515625" customWidth="1"/>
    <col min="2" max="2" width="9.42578125" customWidth="1"/>
    <col min="3" max="3" width="6.5703125" customWidth="1"/>
    <col min="4" max="4" width="5" customWidth="1"/>
    <col min="5" max="5" width="7.28515625" customWidth="1"/>
    <col min="6" max="6" width="6.28515625" customWidth="1"/>
    <col min="7" max="7" width="7.28515625" customWidth="1"/>
    <col min="8" max="8" width="6.28515625" customWidth="1"/>
    <col min="9" max="9" width="7.28515625" customWidth="1"/>
    <col min="10" max="10" width="6.28515625" customWidth="1"/>
    <col min="11" max="11" width="7.28515625" customWidth="1"/>
    <col min="12" max="12" width="6.28515625" customWidth="1"/>
    <col min="13" max="13" width="7.28515625" customWidth="1"/>
    <col min="14" max="14" width="6.28515625" customWidth="1"/>
    <col min="15" max="15" width="5.28515625" customWidth="1"/>
    <col min="16" max="16" width="3.28515625" customWidth="1"/>
    <col min="17" max="16384" width="11.42578125" hidden="1"/>
  </cols>
  <sheetData>
    <row r="1" spans="2:15" x14ac:dyDescent="0.25"/>
    <row r="2" spans="2:15" x14ac:dyDescent="0.25">
      <c r="C2" s="416" t="s">
        <v>936</v>
      </c>
      <c r="D2" s="416"/>
      <c r="E2" s="428" t="s">
        <v>937</v>
      </c>
      <c r="F2" s="428"/>
      <c r="G2" s="413" t="s">
        <v>938</v>
      </c>
      <c r="H2" s="413"/>
    </row>
    <row r="3" spans="2:15" ht="23.25" x14ac:dyDescent="0.35">
      <c r="B3" s="286" t="s">
        <v>933</v>
      </c>
      <c r="C3" s="415">
        <v>50</v>
      </c>
      <c r="D3" s="415"/>
      <c r="E3" s="429">
        <v>12</v>
      </c>
      <c r="F3" s="429"/>
      <c r="G3" s="414">
        <v>2</v>
      </c>
      <c r="H3" s="414"/>
      <c r="J3" s="284" t="str">
        <f>IF(OR((C3-C4)&lt;3,(C4-C5)&lt;3,(C3-C4)&gt;25,C5&lt;15,ISERROR(F31)),"Bitte überprüfen Sie ihre Eingaben!","")</f>
        <v/>
      </c>
    </row>
    <row r="4" spans="2:15" ht="23.25" x14ac:dyDescent="0.35">
      <c r="B4" s="286" t="s">
        <v>934</v>
      </c>
      <c r="C4" s="415">
        <v>40</v>
      </c>
      <c r="D4" s="415"/>
      <c r="E4" s="429">
        <v>16</v>
      </c>
      <c r="F4" s="429"/>
      <c r="G4" s="414"/>
      <c r="H4" s="414"/>
      <c r="J4" s="284" t="str">
        <f>IF(ISERROR(F12),"Bitte überprüfen Sie ihre Eingaben!","")</f>
        <v/>
      </c>
    </row>
    <row r="5" spans="2:15" ht="23.25" x14ac:dyDescent="0.35">
      <c r="B5" s="286" t="s">
        <v>935</v>
      </c>
      <c r="C5" s="415">
        <v>20</v>
      </c>
      <c r="D5" s="415"/>
      <c r="E5" s="429">
        <v>27</v>
      </c>
      <c r="F5" s="429"/>
      <c r="G5" s="414"/>
      <c r="H5" s="414"/>
    </row>
    <row r="6" spans="2:15" x14ac:dyDescent="0.25"/>
    <row r="7" spans="2:15" ht="21" x14ac:dyDescent="0.35">
      <c r="B7" s="19" t="str">
        <f>VLOOKUP(1,TXT_K,$G$3,0)</f>
        <v>Kühlmedium  (PKW)</v>
      </c>
      <c r="C7" s="19"/>
      <c r="D7" s="19"/>
      <c r="E7" s="19"/>
      <c r="F7" s="20" t="str">
        <f>CONCATENATE(E3,"°C"," / ",E4,"°C")</f>
        <v>12°C / 16°C</v>
      </c>
      <c r="G7" s="20"/>
      <c r="H7" s="20"/>
      <c r="I7" s="20"/>
      <c r="J7" s="19"/>
      <c r="K7" s="19"/>
      <c r="L7" s="19"/>
      <c r="M7" s="21" t="str">
        <f>VLOOKUP(8,TXT_K,$G$3,0)</f>
        <v>Raumtemperatur</v>
      </c>
      <c r="N7" s="21"/>
      <c r="O7" s="22" t="str">
        <f>CONCATENATE("+",E5,"°C")</f>
        <v>+27°C</v>
      </c>
    </row>
    <row r="8" spans="2:15" s="74" customFormat="1" ht="12" x14ac:dyDescent="0.2"/>
    <row r="9" spans="2:15" s="74" customFormat="1" ht="12" x14ac:dyDescent="0.2">
      <c r="B9" s="74" t="str">
        <f>VLOOKUP(2,TXT_K,$G$3,0)</f>
        <v>Modell</v>
      </c>
      <c r="F9" s="422" t="str">
        <f>VLOOKUP(7,TXT_K,$G$3,0)</f>
        <v>Leistungsprozent</v>
      </c>
      <c r="G9" s="422"/>
      <c r="H9" s="422"/>
      <c r="I9" s="422"/>
      <c r="J9" s="422"/>
      <c r="K9" s="422"/>
      <c r="L9" s="422"/>
      <c r="M9" s="422"/>
      <c r="N9" s="422"/>
    </row>
    <row r="10" spans="2:15" ht="21" x14ac:dyDescent="0.35">
      <c r="B10" s="14" t="s">
        <v>1030</v>
      </c>
      <c r="E10" s="72"/>
      <c r="F10" s="71">
        <v>0.3</v>
      </c>
      <c r="G10" s="3"/>
      <c r="H10" s="3">
        <v>0.4</v>
      </c>
      <c r="I10" s="2"/>
      <c r="J10" s="2">
        <v>0.5</v>
      </c>
      <c r="K10" s="1"/>
      <c r="L10" s="1">
        <v>0.6</v>
      </c>
      <c r="M10" s="4"/>
      <c r="N10" s="4">
        <v>1</v>
      </c>
      <c r="O10" s="6"/>
    </row>
    <row r="11" spans="2:15" ht="28.5" customHeight="1" x14ac:dyDescent="0.25">
      <c r="B11" s="5" t="str">
        <f>VLOOKUP(3,TXT_K,$G$3,0)</f>
        <v>Wanne  Bk [mm]</v>
      </c>
      <c r="C11" s="85" t="str">
        <f>VLOOKUP(4,TXT_K,$G$3,0)</f>
        <v>Element He [mm]</v>
      </c>
      <c r="E11" s="427" t="str">
        <f>VLOOKUP(20,TXT_K,$G$3,0)</f>
        <v>Kühlleistung [W]</v>
      </c>
      <c r="F11" s="427"/>
      <c r="G11" s="427"/>
      <c r="H11" s="427"/>
      <c r="I11" s="427"/>
      <c r="J11" s="427"/>
      <c r="K11" s="427"/>
      <c r="L11" s="427"/>
      <c r="M11" s="427"/>
      <c r="N11" s="427"/>
      <c r="O11" s="66" t="s">
        <v>970</v>
      </c>
    </row>
    <row r="12" spans="2:15" x14ac:dyDescent="0.25">
      <c r="B12" s="423" t="s">
        <v>999</v>
      </c>
      <c r="C12" s="425" t="s">
        <v>1002</v>
      </c>
      <c r="D12" s="63" t="s">
        <v>1005</v>
      </c>
      <c r="E12" s="67">
        <f>ROUND(F12/(($E$4-$E$3)*1.161),0)</f>
        <v>25</v>
      </c>
      <c r="F12" s="68">
        <f>ROUND(F$14*0.5,0)</f>
        <v>117</v>
      </c>
      <c r="G12" s="30">
        <f>ROUND(H12/(($E$4-$E$3)*1.161),0)</f>
        <v>36</v>
      </c>
      <c r="H12" s="48">
        <f>ROUND(H$14*0.5,0)</f>
        <v>169</v>
      </c>
      <c r="I12" s="32">
        <f>ROUND(J12/(($E$4-$E$3)*1.161),0)</f>
        <v>45</v>
      </c>
      <c r="J12" s="51">
        <f>ROUND(J$14*0.51,0)</f>
        <v>207</v>
      </c>
      <c r="K12" s="34">
        <f>ROUND(L12/(($E$4-$E$3)*1.161),0)</f>
        <v>52</v>
      </c>
      <c r="L12" s="55">
        <f>ROUND(L$14*0.51,0)</f>
        <v>240</v>
      </c>
      <c r="M12" s="36">
        <f>ROUND(N12/(($E$4-$E$3)*1.161),0)</f>
        <v>71</v>
      </c>
      <c r="N12" s="59">
        <f>ROUND(N$14*0.52,0)</f>
        <v>331</v>
      </c>
      <c r="O12" s="419" t="s">
        <v>971</v>
      </c>
    </row>
    <row r="13" spans="2:15" x14ac:dyDescent="0.25">
      <c r="B13" s="424"/>
      <c r="C13" s="426"/>
      <c r="D13" s="64" t="s">
        <v>1006</v>
      </c>
      <c r="E13" s="69"/>
      <c r="F13" s="70">
        <f>ROUND(F$15*0.5,0)</f>
        <v>117</v>
      </c>
      <c r="G13" s="31"/>
      <c r="H13" s="29">
        <f>ROUND(H$15*0.5,0)</f>
        <v>169</v>
      </c>
      <c r="I13" s="33"/>
      <c r="J13" s="52">
        <f>ROUND(J$15*0.51,0)</f>
        <v>207</v>
      </c>
      <c r="K13" s="35"/>
      <c r="L13" s="56">
        <f>ROUND(L$15*0.51,0)</f>
        <v>240</v>
      </c>
      <c r="M13" s="37"/>
      <c r="N13" s="60">
        <f>ROUND(N$15*0.52,0)</f>
        <v>331</v>
      </c>
      <c r="O13" s="420"/>
    </row>
    <row r="14" spans="2:15" x14ac:dyDescent="0.25">
      <c r="B14" s="423" t="s">
        <v>962</v>
      </c>
      <c r="C14" s="425" t="s">
        <v>964</v>
      </c>
      <c r="D14" s="63" t="s">
        <v>1005</v>
      </c>
      <c r="E14" s="67">
        <f>ROUND(F14/(($E$4-$E$3)*1.161),0)</f>
        <v>50</v>
      </c>
      <c r="F14" s="68">
        <f>ROUND(SUM(VLOOKUP(CONCATENATE(E3,"-",E4,"-",E5),LEISTUNGEN_K,21,0)*1.02),0)</f>
        <v>234</v>
      </c>
      <c r="G14" s="30">
        <f>ROUND(H14/(($E$4-$E$3)*1.161),0)</f>
        <v>73</v>
      </c>
      <c r="H14" s="48">
        <f>ROUND(SUM(VLOOKUP(CONCATENATE(E3,"-",E4,"-",E5),LEISTUNGEN_K,20,0)*1.03),0)</f>
        <v>338</v>
      </c>
      <c r="I14" s="32">
        <f>ROUND(J14/(($E$4-$E$3)*1.161),0)</f>
        <v>87</v>
      </c>
      <c r="J14" s="51">
        <f>ROUND(SUM(VLOOKUP(CONCATENATE(E3,"-",E4,"-",E5),LEISTUNGEN_K,19,0)*1.035),0)</f>
        <v>405</v>
      </c>
      <c r="K14" s="34">
        <f>ROUND(L14/(($E$4-$E$3)*1.161),0)</f>
        <v>101</v>
      </c>
      <c r="L14" s="55">
        <f>ROUND(SUM(VLOOKUP(CONCATENATE(E3,"-",E4,"-",E5),LEISTUNGEN_K,18,0)*1.037),0)</f>
        <v>470</v>
      </c>
      <c r="M14" s="36">
        <f>ROUND(N14/(($E$4-$E$3)*1.161),0)</f>
        <v>137</v>
      </c>
      <c r="N14" s="59">
        <f>ROUND(SUM(VLOOKUP(CONCATENATE(E3,"-",E4,"-",E5),LEISTUNGEN_K,16,0)*1.045),0)</f>
        <v>637</v>
      </c>
      <c r="O14" s="419" t="s">
        <v>972</v>
      </c>
    </row>
    <row r="15" spans="2:15" x14ac:dyDescent="0.25">
      <c r="B15" s="424"/>
      <c r="C15" s="426"/>
      <c r="D15" s="64" t="s">
        <v>1006</v>
      </c>
      <c r="E15" s="69"/>
      <c r="F15" s="70">
        <f>ROUND(SUM(VLOOKUP(CONCATENATE(E3,"-",E4,"-",E5),LEISTUNGEN_K,28,0)*1.02),0)</f>
        <v>234</v>
      </c>
      <c r="G15" s="31"/>
      <c r="H15" s="29">
        <f>ROUND(SUM(VLOOKUP(CONCATENATE(E3,"-",E4,"-",E5),LEISTUNGEN_K,27,0)*1.03),0)</f>
        <v>338</v>
      </c>
      <c r="I15" s="33"/>
      <c r="J15" s="52">
        <f>ROUND(SUM(VLOOKUP(CONCATENATE(E3,"-",E4,"-",E5),LEISTUNGEN_K,26,0)*1.035),0)</f>
        <v>405</v>
      </c>
      <c r="K15" s="35"/>
      <c r="L15" s="56">
        <f>ROUND(SUM(VLOOKUP(CONCATENATE(E3,"-",E4,"-",E5),LEISTUNGEN_K,25,0)*1.037),0)</f>
        <v>470</v>
      </c>
      <c r="M15" s="37"/>
      <c r="N15" s="60">
        <f>ROUND(SUM(VLOOKUP(CONCATENATE(E3,"-",E4,"-",E5),LEISTUNGEN_K,23,0)*1.045),0)</f>
        <v>637</v>
      </c>
      <c r="O15" s="420"/>
    </row>
    <row r="16" spans="2:15" x14ac:dyDescent="0.25">
      <c r="B16" s="423" t="s">
        <v>1000</v>
      </c>
      <c r="C16" s="425" t="s">
        <v>1003</v>
      </c>
      <c r="D16" s="63" t="s">
        <v>1005</v>
      </c>
      <c r="E16" s="67">
        <f>ROUND(F16/(($E$4-$E$3)*1.161),0)</f>
        <v>78</v>
      </c>
      <c r="F16" s="68">
        <f>ROUND(F$14*1.55,0)</f>
        <v>363</v>
      </c>
      <c r="G16" s="30">
        <f>ROUND(H16/(($E$4-$E$3)*1.161),0)</f>
        <v>113</v>
      </c>
      <c r="H16" s="48">
        <f>ROUND(H$14*1.55,0)</f>
        <v>524</v>
      </c>
      <c r="I16" s="32">
        <f>ROUND(J16/(($E$4-$E$3)*1.161),0)</f>
        <v>136</v>
      </c>
      <c r="J16" s="51">
        <f>ROUND(J$14*1.56,0)</f>
        <v>632</v>
      </c>
      <c r="K16" s="34">
        <f>ROUND(L16/(($E$4-$E$3)*1.161),0)</f>
        <v>158</v>
      </c>
      <c r="L16" s="55">
        <f>ROUND(L$14*1.56,0)</f>
        <v>733</v>
      </c>
      <c r="M16" s="36">
        <f>ROUND(N16/(($E$4-$E$3)*1.161),0)</f>
        <v>218</v>
      </c>
      <c r="N16" s="59">
        <f>ROUND(N$14*1.59,0)</f>
        <v>1013</v>
      </c>
      <c r="O16" s="419" t="s">
        <v>973</v>
      </c>
    </row>
    <row r="17" spans="2:15" x14ac:dyDescent="0.25">
      <c r="B17" s="424"/>
      <c r="C17" s="426"/>
      <c r="D17" s="64" t="s">
        <v>1006</v>
      </c>
      <c r="E17" s="69"/>
      <c r="F17" s="70">
        <f>ROUND(F$15*1.55,0)</f>
        <v>363</v>
      </c>
      <c r="G17" s="31"/>
      <c r="H17" s="29">
        <f>ROUND(H$15*1.55,0)</f>
        <v>524</v>
      </c>
      <c r="I17" s="33"/>
      <c r="J17" s="52">
        <f>ROUND(J$15*1.56,0)</f>
        <v>632</v>
      </c>
      <c r="K17" s="35"/>
      <c r="L17" s="56">
        <f>ROUND(L$15*1.56,0)</f>
        <v>733</v>
      </c>
      <c r="M17" s="37"/>
      <c r="N17" s="60">
        <f>ROUND(N$15*1.59,0)</f>
        <v>1013</v>
      </c>
      <c r="O17" s="420"/>
    </row>
    <row r="18" spans="2:15" x14ac:dyDescent="0.25">
      <c r="B18" s="423" t="s">
        <v>963</v>
      </c>
      <c r="C18" s="425" t="s">
        <v>965</v>
      </c>
      <c r="D18" s="63" t="s">
        <v>1005</v>
      </c>
      <c r="E18" s="67">
        <f>ROUND(F18/(($E$4-$E$3)*1.161),0)</f>
        <v>104</v>
      </c>
      <c r="F18" s="68">
        <f>ROUND(F$14*2.06,0)</f>
        <v>482</v>
      </c>
      <c r="G18" s="30">
        <f>ROUND(H18/(($E$4-$E$3)*1.161),0)</f>
        <v>150</v>
      </c>
      <c r="H18" s="48">
        <f>ROUND(H$14*2.06,0)</f>
        <v>696</v>
      </c>
      <c r="I18" s="32">
        <f>ROUND(J18/(($E$4-$E$3)*1.161),0)</f>
        <v>181</v>
      </c>
      <c r="J18" s="51">
        <f>ROUND(J$14*2.08,0)</f>
        <v>842</v>
      </c>
      <c r="K18" s="34">
        <f>ROUND(L18/(($E$4-$E$3)*1.161),0)</f>
        <v>211</v>
      </c>
      <c r="L18" s="55">
        <f>ROUND(L$14*2.08,0)</f>
        <v>978</v>
      </c>
      <c r="M18" s="36">
        <f>ROUND(N18/(($E$4-$E$3)*1.161),0)</f>
        <v>289</v>
      </c>
      <c r="N18" s="59">
        <f>ROUND(N$14*2.11,0)</f>
        <v>1344</v>
      </c>
      <c r="O18" s="419" t="s">
        <v>974</v>
      </c>
    </row>
    <row r="19" spans="2:15" x14ac:dyDescent="0.25">
      <c r="B19" s="424"/>
      <c r="C19" s="426"/>
      <c r="D19" s="64" t="s">
        <v>1006</v>
      </c>
      <c r="E19" s="69"/>
      <c r="F19" s="70">
        <f>ROUND(F$15*2.06,0)</f>
        <v>482</v>
      </c>
      <c r="G19" s="31"/>
      <c r="H19" s="29">
        <f>ROUND(H$15*2.06,0)</f>
        <v>696</v>
      </c>
      <c r="I19" s="33"/>
      <c r="J19" s="52">
        <f>ROUND(J$15*2.08,0)</f>
        <v>842</v>
      </c>
      <c r="K19" s="35"/>
      <c r="L19" s="56">
        <f>ROUND(L$15*2.08,0)</f>
        <v>978</v>
      </c>
      <c r="M19" s="37"/>
      <c r="N19" s="60">
        <f>ROUND(N$15*2.11,0)</f>
        <v>1344</v>
      </c>
      <c r="O19" s="420"/>
    </row>
    <row r="20" spans="2:15" x14ac:dyDescent="0.25">
      <c r="B20" s="423" t="s">
        <v>1001</v>
      </c>
      <c r="C20" s="425" t="s">
        <v>1004</v>
      </c>
      <c r="D20" s="63" t="s">
        <v>1005</v>
      </c>
      <c r="E20" s="67">
        <f>ROUND(F20/(($E$4-$E$3)*1.161),0)</f>
        <v>131</v>
      </c>
      <c r="F20" s="68">
        <f>ROUND(F$14*2.6,0)</f>
        <v>608</v>
      </c>
      <c r="G20" s="30">
        <f>ROUND(H20/(($E$4-$E$3)*1.161),0)</f>
        <v>189</v>
      </c>
      <c r="H20" s="48">
        <f>ROUND(H$14*2.6,0)</f>
        <v>879</v>
      </c>
      <c r="I20" s="32">
        <f>ROUND(J20/(($E$4-$E$3)*1.161),0)</f>
        <v>231</v>
      </c>
      <c r="J20" s="51">
        <f>ROUND(J$14*2.65,0)</f>
        <v>1073</v>
      </c>
      <c r="K20" s="34">
        <f>ROUND(L20/(($E$4-$E$3)*1.161),0)</f>
        <v>268</v>
      </c>
      <c r="L20" s="55">
        <f>ROUND(L$14*2.65,0)</f>
        <v>1246</v>
      </c>
      <c r="M20" s="36">
        <f>ROUND(N20/(($E$4-$E$3)*1.161),0)</f>
        <v>370</v>
      </c>
      <c r="N20" s="59">
        <f>ROUND(N$14*2.7,0)</f>
        <v>1720</v>
      </c>
      <c r="O20" s="419" t="s">
        <v>975</v>
      </c>
    </row>
    <row r="21" spans="2:15" x14ac:dyDescent="0.25">
      <c r="B21" s="424"/>
      <c r="C21" s="426"/>
      <c r="D21" s="64" t="s">
        <v>1006</v>
      </c>
      <c r="E21" s="69"/>
      <c r="F21" s="70">
        <f>ROUND(F$15*2.6,0)</f>
        <v>608</v>
      </c>
      <c r="G21" s="31"/>
      <c r="H21" s="29">
        <f>ROUND(H$15*2.6,0)</f>
        <v>879</v>
      </c>
      <c r="I21" s="33"/>
      <c r="J21" s="52">
        <f>ROUND(J$15*2.65,0)</f>
        <v>1073</v>
      </c>
      <c r="K21" s="35"/>
      <c r="L21" s="56">
        <f t="shared" ref="L21" si="0">ROUND(L$15*2.65,0)</f>
        <v>1246</v>
      </c>
      <c r="M21" s="37"/>
      <c r="N21" s="60">
        <f>ROUND(N$15*2.7,0)</f>
        <v>1720</v>
      </c>
      <c r="O21" s="420"/>
    </row>
    <row r="22" spans="2:15" x14ac:dyDescent="0.25">
      <c r="B22" s="423" t="s">
        <v>1020</v>
      </c>
      <c r="C22" s="425" t="s">
        <v>966</v>
      </c>
      <c r="D22" s="63" t="s">
        <v>1005</v>
      </c>
      <c r="E22" s="67">
        <f>ROUND(F22/(($E$4-$E$3)*1.161),0)</f>
        <v>156</v>
      </c>
      <c r="F22" s="68">
        <f>ROUND(F$14*3.1,0)</f>
        <v>725</v>
      </c>
      <c r="G22" s="30">
        <f>ROUND(H22/(($E$4-$E$3)*1.161),0)</f>
        <v>226</v>
      </c>
      <c r="H22" s="48">
        <f>ROUND(H$14*3.1,0)</f>
        <v>1048</v>
      </c>
      <c r="I22" s="32">
        <f>ROUND(J22/(($E$4-$E$3)*1.161),0)</f>
        <v>273</v>
      </c>
      <c r="J22" s="51">
        <f>ROUND(J$14*3.13,0)</f>
        <v>1268</v>
      </c>
      <c r="K22" s="34">
        <f>ROUND(L22/(($E$4-$E$3)*1.161),0)</f>
        <v>317</v>
      </c>
      <c r="L22" s="55">
        <f>ROUND(L$14*3.13,0)</f>
        <v>1471</v>
      </c>
      <c r="M22" s="36">
        <f>ROUND(N22/(($E$4-$E$3)*1.161),0)</f>
        <v>436</v>
      </c>
      <c r="N22" s="59">
        <f>ROUND(N$14*3.18,0)</f>
        <v>2026</v>
      </c>
      <c r="O22" s="419" t="s">
        <v>976</v>
      </c>
    </row>
    <row r="23" spans="2:15" x14ac:dyDescent="0.25">
      <c r="B23" s="424"/>
      <c r="C23" s="426"/>
      <c r="D23" s="64" t="s">
        <v>1006</v>
      </c>
      <c r="E23" s="69"/>
      <c r="F23" s="70">
        <f>ROUND(F$15*3.1,0)</f>
        <v>725</v>
      </c>
      <c r="G23" s="31"/>
      <c r="H23" s="29">
        <f>ROUND(H$15*3.1,0)</f>
        <v>1048</v>
      </c>
      <c r="I23" s="33"/>
      <c r="J23" s="52">
        <f>ROUND(J$15*3.13,0)</f>
        <v>1268</v>
      </c>
      <c r="K23" s="35"/>
      <c r="L23" s="56">
        <f t="shared" ref="L23" si="1">ROUND(L$15*3.13,0)</f>
        <v>1471</v>
      </c>
      <c r="M23" s="37"/>
      <c r="N23" s="60">
        <f>ROUND(N$15*3.18,0)</f>
        <v>2026</v>
      </c>
      <c r="O23" s="420"/>
    </row>
    <row r="24" spans="2:15" s="74" customFormat="1" ht="12" x14ac:dyDescent="0.2">
      <c r="O24" s="94" t="str">
        <f>VLOOKUP(23,TXT_K,$G$3,0)</f>
        <v>Leistung nach DIN EN 16430</v>
      </c>
    </row>
    <row r="25" spans="2:15" x14ac:dyDescent="0.25"/>
    <row r="26" spans="2:15" ht="21" x14ac:dyDescent="0.35">
      <c r="B26" s="15" t="str">
        <f>VLOOKUP(22,TXT_K,$G$3,0)</f>
        <v>Heizmedium  (PWW)</v>
      </c>
      <c r="C26" s="15"/>
      <c r="D26" s="15"/>
      <c r="E26" s="15"/>
      <c r="F26" s="16" t="str">
        <f>CONCATENATE(C3,"°C"," / ",C4,"°C")</f>
        <v>50°C / 40°C</v>
      </c>
      <c r="G26" s="16"/>
      <c r="H26" s="16"/>
      <c r="I26" s="16"/>
      <c r="J26" s="15"/>
      <c r="K26" s="15"/>
      <c r="L26" s="15"/>
      <c r="M26" s="17" t="str">
        <f>VLOOKUP(8,TXT_K,$G$3,0)</f>
        <v>Raumtemperatur</v>
      </c>
      <c r="N26" s="17"/>
      <c r="O26" s="18" t="str">
        <f>CONCATENATE("+",C5,"°C")</f>
        <v>+20°C</v>
      </c>
    </row>
    <row r="27" spans="2:15" s="74" customFormat="1" ht="12" x14ac:dyDescent="0.2"/>
    <row r="28" spans="2:15" s="74" customFormat="1" ht="12" x14ac:dyDescent="0.2">
      <c r="B28" s="74" t="str">
        <f>VLOOKUP(2,TXT_K,$G$3,0)</f>
        <v>Modell</v>
      </c>
      <c r="F28" s="422" t="str">
        <f>VLOOKUP(7,TXT_K,$G$3,0)</f>
        <v>Leistungsprozent</v>
      </c>
      <c r="G28" s="422"/>
      <c r="H28" s="422"/>
      <c r="I28" s="422"/>
      <c r="J28" s="422"/>
      <c r="K28" s="422"/>
      <c r="L28" s="422"/>
      <c r="M28" s="422"/>
      <c r="N28" s="422"/>
    </row>
    <row r="29" spans="2:15" ht="21" x14ac:dyDescent="0.35">
      <c r="B29" s="7" t="s">
        <v>1030</v>
      </c>
      <c r="E29" s="77"/>
      <c r="F29" s="78">
        <v>0.3</v>
      </c>
      <c r="G29" s="11"/>
      <c r="H29" s="11">
        <v>0.4</v>
      </c>
      <c r="I29" s="8"/>
      <c r="J29" s="8">
        <v>0.5</v>
      </c>
      <c r="K29" s="9"/>
      <c r="L29" s="9">
        <v>0.6</v>
      </c>
      <c r="M29" s="10"/>
      <c r="N29" s="10">
        <v>1</v>
      </c>
      <c r="O29" s="6"/>
    </row>
    <row r="30" spans="2:15" s="74" customFormat="1" ht="28.5" customHeight="1" x14ac:dyDescent="0.2">
      <c r="B30" s="85" t="str">
        <f>VLOOKUP(3,TXT_K,$G$3,0)</f>
        <v>Wanne  Bk [mm]</v>
      </c>
      <c r="C30" s="85" t="str">
        <f>VLOOKUP(4,TXT_K,$G$3,0)</f>
        <v>Element He [mm]</v>
      </c>
      <c r="E30" s="421" t="str">
        <f>VLOOKUP(21,TXT_K,$G$3,0)</f>
        <v>Heizleistung [W]</v>
      </c>
      <c r="F30" s="421"/>
      <c r="G30" s="421"/>
      <c r="H30" s="421"/>
      <c r="I30" s="421"/>
      <c r="J30" s="421"/>
      <c r="K30" s="421"/>
      <c r="L30" s="421"/>
      <c r="M30" s="421"/>
      <c r="N30" s="421"/>
      <c r="O30" s="66" t="s">
        <v>970</v>
      </c>
    </row>
    <row r="31" spans="2:15" x14ac:dyDescent="0.25">
      <c r="B31" s="12" t="s">
        <v>999</v>
      </c>
      <c r="C31" s="46" t="s">
        <v>1002</v>
      </c>
      <c r="D31" s="63" t="s">
        <v>1005</v>
      </c>
      <c r="E31" s="79">
        <f t="shared" ref="E31:G36" si="2">ROUND(F31/(($C$3-$C$4)*1.161),0)</f>
        <v>25</v>
      </c>
      <c r="F31" s="80">
        <f>ROUND(F32*0.5,0)</f>
        <v>290</v>
      </c>
      <c r="G31" s="38">
        <f t="shared" si="2"/>
        <v>32</v>
      </c>
      <c r="H31" s="49">
        <f>ROUND(H32*0.5,0)</f>
        <v>370</v>
      </c>
      <c r="I31" s="40">
        <f t="shared" ref="I31:I36" si="3">ROUND(J31/(($C$3-$C$4)*1.161),0)</f>
        <v>36</v>
      </c>
      <c r="J31" s="53">
        <f>ROUND(J32*0.5,0)</f>
        <v>413</v>
      </c>
      <c r="K31" s="42">
        <f t="shared" ref="K31:K36" si="4">ROUND(L31/(($C$3-$C$4)*1.161),0)</f>
        <v>39</v>
      </c>
      <c r="L31" s="57">
        <f t="shared" ref="L31:N31" si="5">ROUND(L32*0.5,0)</f>
        <v>456</v>
      </c>
      <c r="M31" s="44">
        <f t="shared" ref="M31:M36" si="6">ROUND(N31/(($C$3-$C$4)*1.161),0)</f>
        <v>47</v>
      </c>
      <c r="N31" s="61">
        <f t="shared" si="5"/>
        <v>547</v>
      </c>
      <c r="O31" s="23" t="s">
        <v>971</v>
      </c>
    </row>
    <row r="32" spans="2:15" x14ac:dyDescent="0.25">
      <c r="B32" s="12" t="s">
        <v>962</v>
      </c>
      <c r="C32" s="46" t="s">
        <v>964</v>
      </c>
      <c r="D32" s="63" t="s">
        <v>1005</v>
      </c>
      <c r="E32" s="79">
        <f t="shared" si="2"/>
        <v>50</v>
      </c>
      <c r="F32" s="80">
        <f>ROUND(SUM('BASE-HEIZ'!G7)*1.02*VLOOKUP(((C3+C4)/2)-C5,FAKTOR_K,2,0),0)</f>
        <v>579</v>
      </c>
      <c r="G32" s="38">
        <f t="shared" si="2"/>
        <v>64</v>
      </c>
      <c r="H32" s="49">
        <f>ROUND(SUM('BASE-HEIZ'!F7)*1.03*VLOOKUP(((C3+C4)/2)-C5,FAKTOR_K,2,0),0)</f>
        <v>740</v>
      </c>
      <c r="I32" s="40">
        <f t="shared" si="3"/>
        <v>71</v>
      </c>
      <c r="J32" s="53">
        <f>ROUND(SUM('BASE-HEIZ'!E7)*1.035*VLOOKUP(((C3+C4)/2)-C5,FAKTOR_K,2,0),0)</f>
        <v>826</v>
      </c>
      <c r="K32" s="42">
        <f t="shared" si="4"/>
        <v>78</v>
      </c>
      <c r="L32" s="57">
        <f>ROUND(SUM('BASE-HEIZ'!D7)*1.037*VLOOKUP(((C3+C4)/2)-C5,FAKTOR_K,2,0),0)</f>
        <v>911</v>
      </c>
      <c r="M32" s="44">
        <f t="shared" si="6"/>
        <v>94</v>
      </c>
      <c r="N32" s="61">
        <f>ROUND(SUM('BASE-HEIZ'!B7)*1.045*VLOOKUP(((C3+C4)/2)-C5,FAKTOR_K,2,0),0)</f>
        <v>1094</v>
      </c>
      <c r="O32" s="24" t="s">
        <v>972</v>
      </c>
    </row>
    <row r="33" spans="2:15" x14ac:dyDescent="0.25">
      <c r="B33" s="12" t="s">
        <v>1000</v>
      </c>
      <c r="C33" s="46" t="s">
        <v>1003</v>
      </c>
      <c r="D33" s="63" t="s">
        <v>1005</v>
      </c>
      <c r="E33" s="79">
        <f t="shared" si="2"/>
        <v>75</v>
      </c>
      <c r="F33" s="80">
        <f>ROUND(F32*1.5,0)</f>
        <v>869</v>
      </c>
      <c r="G33" s="38">
        <f t="shared" si="2"/>
        <v>96</v>
      </c>
      <c r="H33" s="49">
        <f>ROUND(H32*1.5,0)</f>
        <v>1110</v>
      </c>
      <c r="I33" s="40">
        <f t="shared" si="3"/>
        <v>107</v>
      </c>
      <c r="J33" s="53">
        <f t="shared" ref="J33:N33" si="7">ROUND(J32*1.5,0)</f>
        <v>1239</v>
      </c>
      <c r="K33" s="42">
        <f t="shared" si="4"/>
        <v>118</v>
      </c>
      <c r="L33" s="57">
        <f t="shared" si="7"/>
        <v>1367</v>
      </c>
      <c r="M33" s="44">
        <f t="shared" si="6"/>
        <v>141</v>
      </c>
      <c r="N33" s="61">
        <f t="shared" si="7"/>
        <v>1641</v>
      </c>
      <c r="O33" s="23" t="s">
        <v>973</v>
      </c>
    </row>
    <row r="34" spans="2:15" x14ac:dyDescent="0.25">
      <c r="B34" s="12" t="s">
        <v>963</v>
      </c>
      <c r="C34" s="46" t="s">
        <v>965</v>
      </c>
      <c r="D34" s="63" t="s">
        <v>1005</v>
      </c>
      <c r="E34" s="79">
        <f t="shared" si="2"/>
        <v>100</v>
      </c>
      <c r="F34" s="80">
        <f>ROUND(F32*2,0)</f>
        <v>1158</v>
      </c>
      <c r="G34" s="38">
        <f t="shared" si="2"/>
        <v>127</v>
      </c>
      <c r="H34" s="49">
        <f>ROUND(H32*2,0)</f>
        <v>1480</v>
      </c>
      <c r="I34" s="40">
        <f t="shared" si="3"/>
        <v>142</v>
      </c>
      <c r="J34" s="53">
        <f t="shared" ref="J34:N34" si="8">ROUND(J32*2,0)</f>
        <v>1652</v>
      </c>
      <c r="K34" s="42">
        <f t="shared" si="4"/>
        <v>157</v>
      </c>
      <c r="L34" s="57">
        <f t="shared" si="8"/>
        <v>1822</v>
      </c>
      <c r="M34" s="44">
        <f t="shared" si="6"/>
        <v>188</v>
      </c>
      <c r="N34" s="61">
        <f t="shared" si="8"/>
        <v>2188</v>
      </c>
      <c r="O34" s="23" t="s">
        <v>974</v>
      </c>
    </row>
    <row r="35" spans="2:15" x14ac:dyDescent="0.25">
      <c r="B35" s="12" t="s">
        <v>1001</v>
      </c>
      <c r="C35" s="46" t="s">
        <v>1004</v>
      </c>
      <c r="D35" s="63" t="s">
        <v>1005</v>
      </c>
      <c r="E35" s="79">
        <f t="shared" si="2"/>
        <v>125</v>
      </c>
      <c r="F35" s="80">
        <f>ROUND(F32*2.5,0)</f>
        <v>1448</v>
      </c>
      <c r="G35" s="38">
        <f t="shared" si="2"/>
        <v>159</v>
      </c>
      <c r="H35" s="49">
        <f>ROUND(H32*2.5,0)</f>
        <v>1850</v>
      </c>
      <c r="I35" s="40">
        <f t="shared" si="3"/>
        <v>178</v>
      </c>
      <c r="J35" s="53">
        <f t="shared" ref="J35:N35" si="9">ROUND(J32*2.5,0)</f>
        <v>2065</v>
      </c>
      <c r="K35" s="42">
        <f t="shared" si="4"/>
        <v>196</v>
      </c>
      <c r="L35" s="57">
        <f t="shared" si="9"/>
        <v>2278</v>
      </c>
      <c r="M35" s="44">
        <f t="shared" si="6"/>
        <v>236</v>
      </c>
      <c r="N35" s="61">
        <f t="shared" si="9"/>
        <v>2735</v>
      </c>
      <c r="O35" s="23" t="s">
        <v>975</v>
      </c>
    </row>
    <row r="36" spans="2:15" x14ac:dyDescent="0.25">
      <c r="B36" s="13" t="s">
        <v>1020</v>
      </c>
      <c r="C36" s="47" t="s">
        <v>966</v>
      </c>
      <c r="D36" s="65" t="s">
        <v>1005</v>
      </c>
      <c r="E36" s="81">
        <f t="shared" si="2"/>
        <v>150</v>
      </c>
      <c r="F36" s="82">
        <f>ROUND(F32*3,0)</f>
        <v>1737</v>
      </c>
      <c r="G36" s="39">
        <f t="shared" si="2"/>
        <v>191</v>
      </c>
      <c r="H36" s="50">
        <f>ROUND(H32*3,0)</f>
        <v>2220</v>
      </c>
      <c r="I36" s="41">
        <f t="shared" si="3"/>
        <v>213</v>
      </c>
      <c r="J36" s="54">
        <f t="shared" ref="J36:N36" si="10">ROUND(J32*3,0)</f>
        <v>2478</v>
      </c>
      <c r="K36" s="43">
        <f t="shared" si="4"/>
        <v>235</v>
      </c>
      <c r="L36" s="58">
        <f t="shared" si="10"/>
        <v>2733</v>
      </c>
      <c r="M36" s="45">
        <f t="shared" si="6"/>
        <v>283</v>
      </c>
      <c r="N36" s="62">
        <f t="shared" si="10"/>
        <v>3282</v>
      </c>
      <c r="O36" s="25" t="s">
        <v>976</v>
      </c>
    </row>
    <row r="37" spans="2:15" s="74" customFormat="1" ht="12" x14ac:dyDescent="0.2">
      <c r="B37" s="90"/>
      <c r="C37" s="91"/>
      <c r="E37" s="92"/>
      <c r="F37" s="93"/>
      <c r="G37" s="93"/>
      <c r="H37" s="93"/>
      <c r="I37" s="92"/>
      <c r="J37" s="93"/>
      <c r="K37" s="92"/>
      <c r="L37" s="93"/>
      <c r="M37" s="92"/>
      <c r="N37" s="93"/>
      <c r="O37" s="94" t="str">
        <f>VLOOKUP(23,TXT_K,$G$3,0)</f>
        <v>Leistung nach DIN EN 16430</v>
      </c>
    </row>
    <row r="38" spans="2:15" s="76" customFormat="1" ht="12" x14ac:dyDescent="0.2">
      <c r="B38" s="76" t="str">
        <f>VLOOKUP(41,TXT_K,$G$3,0)</f>
        <v>Leistungsdaten mit Abdeckung, Rollrost Typ 941-17-B (f.Q. 70%)</v>
      </c>
      <c r="C38" s="96"/>
      <c r="E38" s="97"/>
      <c r="F38" s="93"/>
      <c r="G38" s="93"/>
      <c r="H38" s="93"/>
      <c r="I38" s="97"/>
      <c r="J38" s="93"/>
      <c r="K38" s="97"/>
      <c r="L38" s="93"/>
      <c r="M38" s="97"/>
      <c r="N38" s="93"/>
      <c r="O38" s="98"/>
    </row>
    <row r="39" spans="2:15" s="76" customFormat="1" ht="12" x14ac:dyDescent="0.2">
      <c r="B39" s="76" t="str">
        <f>VLOOKUP(42,TXT_K,$G$3,0)</f>
        <v>Bei abweichenden Abdeckungen, ist mit einer Leistungsminderung zu rechnen</v>
      </c>
      <c r="C39" s="96"/>
      <c r="E39" s="97"/>
      <c r="F39" s="93"/>
      <c r="G39" s="93"/>
      <c r="H39" s="93"/>
      <c r="I39" s="97"/>
      <c r="J39" s="93"/>
      <c r="K39" s="97"/>
      <c r="L39" s="93"/>
      <c r="M39" s="97"/>
      <c r="N39" s="93"/>
      <c r="O39" s="98"/>
    </row>
    <row r="40" spans="2:15" s="74" customFormat="1" ht="12" x14ac:dyDescent="0.2">
      <c r="B40" s="76" t="str">
        <f>VLOOKUP(28,TXT_K,$G$3,0)</f>
        <v>Minimale Wassermassenströme von ca. 20 kg/h sollen eingehalten werden</v>
      </c>
    </row>
    <row r="41" spans="2:15" ht="9.75" customHeight="1" x14ac:dyDescent="0.25"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2:15" x14ac:dyDescent="0.25">
      <c r="B42" s="75" t="str">
        <f>VLOOKUP(37,TXT_K,$G$3,0)</f>
        <v>N4: Nasse Kühlung - 4-Leiter-System mit Ablaufwanne und Ablaufstutzen für Kondensat</v>
      </c>
      <c r="C42" s="6"/>
      <c r="D42" s="6"/>
      <c r="E42" s="6"/>
      <c r="F42" s="6"/>
      <c r="G42" s="6"/>
      <c r="H42" s="6"/>
      <c r="I42" s="6"/>
      <c r="J42" s="6"/>
      <c r="K42" s="6"/>
      <c r="M42" s="6"/>
      <c r="N42" s="6"/>
      <c r="O42" s="6"/>
    </row>
    <row r="43" spans="2:15" x14ac:dyDescent="0.25">
      <c r="B43" s="76" t="str">
        <f>VLOOKUP(5,TXT_K,$G$3,0)</f>
        <v>Qt [W]: Kühlleistung gesamt</v>
      </c>
      <c r="C43" s="6"/>
      <c r="D43" s="6"/>
      <c r="E43" s="6"/>
      <c r="F43" s="6"/>
      <c r="G43" s="6"/>
      <c r="H43" s="6"/>
      <c r="I43" s="6"/>
      <c r="M43" s="6"/>
      <c r="N43" s="6"/>
      <c r="O43" s="94" t="str">
        <f>VLOOKUP(26,TXT_K,$G$3,0)</f>
        <v>Querstromventilator Typ EC65  24VDC</v>
      </c>
    </row>
    <row r="44" spans="2:15" x14ac:dyDescent="0.25">
      <c r="B44" s="76" t="str">
        <f>VLOOKUP(6,TXT_K,$G$3,0)</f>
        <v>Qs [W]: Kühlleistung sensibel</v>
      </c>
      <c r="C44" s="6"/>
      <c r="D44" s="6"/>
      <c r="E44" s="6"/>
      <c r="F44" s="6"/>
      <c r="G44" s="6"/>
      <c r="H44" s="6"/>
      <c r="I44" s="6"/>
      <c r="J44" s="6"/>
      <c r="K44" s="6"/>
      <c r="M44" s="6"/>
      <c r="N44" s="6"/>
      <c r="O44" s="98" t="str">
        <f>VLOOKUP(10,TXT_K,$G$3,0)</f>
        <v>M: Anzahl Motoren</v>
      </c>
    </row>
    <row r="45" spans="2:15" x14ac:dyDescent="0.25">
      <c r="B45" s="74" t="str">
        <f>VLOOKUP(38,TXT_K,$G$3,0)</f>
        <v>X: Erweiterung des Bodenkanals um ein Regulierungsmodul zu integrieren</v>
      </c>
      <c r="C45" s="6"/>
      <c r="D45" s="6"/>
      <c r="E45" s="6"/>
      <c r="F45" s="6"/>
      <c r="G45" s="6"/>
      <c r="H45" s="6"/>
      <c r="I45" s="6"/>
      <c r="J45" s="6"/>
      <c r="K45" s="6"/>
      <c r="M45" s="6"/>
      <c r="N45" s="6"/>
      <c r="O45" s="98" t="str">
        <f>VLOOKUP(14,TXT_K,$G$3,0)</f>
        <v>QVw: Anzahl Ventilatoren-Walzen</v>
      </c>
    </row>
    <row r="46" spans="2:15" x14ac:dyDescent="0.25">
      <c r="B46" s="74" t="str">
        <f>VLOOKUP(33,TXT_K,$G$3,0)</f>
        <v>Die Zwischenlängen werden durch Leerstücke angepasst.</v>
      </c>
      <c r="C46" s="6"/>
      <c r="D46" s="6"/>
      <c r="E46" s="6"/>
      <c r="F46" s="6"/>
      <c r="G46" s="6"/>
      <c r="H46" s="6"/>
      <c r="I46" s="6"/>
      <c r="J46" s="6"/>
      <c r="K46" s="6"/>
      <c r="M46" s="6"/>
      <c r="N46" s="6"/>
      <c r="O46" s="98" t="str">
        <f>VLOOKUP(15,TXT_K,$G$3,0)</f>
        <v>ṁ: Wassermassenstrom [kg/h]</v>
      </c>
    </row>
    <row r="47" spans="2:15" x14ac:dyDescent="0.25">
      <c r="B47" s="74" t="str">
        <f>VLOOKUP(29,TXT_K,$G$3,0)</f>
        <v>Bei Veränderungen der Standardteile können Abweichungen entstehen</v>
      </c>
    </row>
    <row r="48" spans="2:15" x14ac:dyDescent="0.25"/>
    <row r="49" spans="15:15" x14ac:dyDescent="0.25"/>
    <row r="50" spans="15:15" x14ac:dyDescent="0.25"/>
    <row r="51" spans="15:15" x14ac:dyDescent="0.25"/>
    <row r="52" spans="15:15" x14ac:dyDescent="0.25"/>
    <row r="53" spans="15:15" x14ac:dyDescent="0.25"/>
    <row r="54" spans="15:15" x14ac:dyDescent="0.25">
      <c r="O54" s="73" t="s">
        <v>1050</v>
      </c>
    </row>
    <row r="55" spans="15:15" x14ac:dyDescent="0.25"/>
  </sheetData>
  <sheetProtection algorithmName="SHA-512" hashValue="c7vZzSVKUuZWeQwWef7LLCihKaRNWM1zGPwKZwoOF4+oxKKxbGc45obJZQn6BYHrPG9GKF9Rix++wxQPlGk4Qw==" saltValue="/yEmzvGNT+tK1bN7TXV6cA==" spinCount="100000" sheet="1" objects="1" scenarios="1" selectLockedCells="1"/>
  <protectedRanges>
    <protectedRange sqref="C3:H5" name="Bereich1"/>
  </protectedRanges>
  <mergeCells count="32">
    <mergeCell ref="C2:D2"/>
    <mergeCell ref="C3:D3"/>
    <mergeCell ref="C4:D4"/>
    <mergeCell ref="C5:D5"/>
    <mergeCell ref="F28:N28"/>
    <mergeCell ref="G2:H2"/>
    <mergeCell ref="G3:H5"/>
    <mergeCell ref="E2:F2"/>
    <mergeCell ref="E3:F3"/>
    <mergeCell ref="E4:F4"/>
    <mergeCell ref="E5:F5"/>
    <mergeCell ref="E30:N30"/>
    <mergeCell ref="B20:B21"/>
    <mergeCell ref="C20:C21"/>
    <mergeCell ref="O20:O21"/>
    <mergeCell ref="B22:B23"/>
    <mergeCell ref="C22:C23"/>
    <mergeCell ref="O22:O23"/>
    <mergeCell ref="B16:B17"/>
    <mergeCell ref="C16:C17"/>
    <mergeCell ref="O16:O17"/>
    <mergeCell ref="B18:B19"/>
    <mergeCell ref="C18:C19"/>
    <mergeCell ref="O18:O19"/>
    <mergeCell ref="B14:B15"/>
    <mergeCell ref="C14:C15"/>
    <mergeCell ref="O14:O15"/>
    <mergeCell ref="F9:N9"/>
    <mergeCell ref="E11:N11"/>
    <mergeCell ref="B12:B13"/>
    <mergeCell ref="C12:C13"/>
    <mergeCell ref="O12:O13"/>
  </mergeCells>
  <conditionalFormatting sqref="C3:D5">
    <cfRule type="expression" dxfId="223" priority="2">
      <formula>$J$3&lt;&gt;""</formula>
    </cfRule>
  </conditionalFormatting>
  <conditionalFormatting sqref="E3:F5">
    <cfRule type="expression" dxfId="222" priority="1">
      <formula>$J$4&lt;&gt;""</formula>
    </cfRule>
  </conditionalFormatting>
  <dataValidations count="7">
    <dataValidation type="whole" allowBlank="1" showInputMessage="1" showErrorMessage="1" sqref="C3:D3" xr:uid="{6EC6EF0B-C272-4685-9B3B-CE6320AB9A57}">
      <formula1>30</formula1>
      <formula2>90</formula2>
    </dataValidation>
    <dataValidation type="whole" allowBlank="1" showInputMessage="1" showErrorMessage="1" sqref="C4:D4" xr:uid="{4E743F06-4E39-41A3-9CEE-E34963D0D866}">
      <formula1>25</formula1>
      <formula2>85</formula2>
    </dataValidation>
    <dataValidation type="whole" allowBlank="1" showInputMessage="1" showErrorMessage="1" sqref="C5:D5" xr:uid="{E0F0D910-0305-45F0-A0DE-4AB1F21A2B28}">
      <formula1>15</formula1>
      <formula2>29</formula2>
    </dataValidation>
    <dataValidation type="whole" allowBlank="1" showInputMessage="1" showErrorMessage="1" sqref="E3:F3" xr:uid="{11326967-9967-4E2C-8051-A94BFD246FB1}">
      <formula1>4</formula1>
      <formula2>20</formula2>
    </dataValidation>
    <dataValidation type="whole" allowBlank="1" showInputMessage="1" showErrorMessage="1" sqref="E4:F4" xr:uid="{FB98EF23-58F1-4B9F-AFF0-24AB162050C0}">
      <formula1>6</formula1>
      <formula2>24</formula2>
    </dataValidation>
    <dataValidation type="whole" allowBlank="1" showInputMessage="1" showErrorMessage="1" sqref="E5:F5" xr:uid="{E5E477AF-FCC9-4585-B8CF-B3D6CAA40429}">
      <formula1>20</formula1>
      <formula2>30</formula2>
    </dataValidation>
    <dataValidation type="whole" allowBlank="1" showInputMessage="1" showErrorMessage="1" sqref="G3:H5" xr:uid="{074B8906-6A7B-4C7E-8ABC-470D3259A4B8}">
      <formula1>2</formula1>
      <formula2>3</formula2>
    </dataValidation>
  </dataValidations>
  <pageMargins left="0.51181102362204722" right="0.31496062992125984" top="0.94488188976377963" bottom="0.55118110236220474" header="0.31496062992125984" footer="0.11811023622047245"/>
  <pageSetup paperSize="9" orientation="portrait" r:id="rId1"/>
  <headerFooter>
    <oddHeader>&amp;C&amp;G</oddHeader>
    <oddFooter>&amp;C&amp;G</oddFooter>
  </headerFooter>
  <ignoredErrors>
    <ignoredError sqref="E12:O36" formula="1"/>
  </ignoredError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" id="{8F9ADC2A-DC87-479D-B081-9C901A437E8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E12</xm:sqref>
        </x14:conditionalFormatting>
        <x14:conditionalFormatting xmlns:xm="http://schemas.microsoft.com/office/excel/2006/main">
          <x14:cfRule type="iconSet" priority="64" id="{49B010B3-8520-4A4A-83CD-31BC1635807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E14</xm:sqref>
        </x14:conditionalFormatting>
        <x14:conditionalFormatting xmlns:xm="http://schemas.microsoft.com/office/excel/2006/main">
          <x14:cfRule type="iconSet" priority="63" id="{DFB5CA96-96A4-4AB8-886A-5AD0E1B655A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E16</xm:sqref>
        </x14:conditionalFormatting>
        <x14:conditionalFormatting xmlns:xm="http://schemas.microsoft.com/office/excel/2006/main">
          <x14:cfRule type="iconSet" priority="62" id="{052D2FEF-D16D-40CC-BA65-24BE416B899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</xm:sqref>
        </x14:conditionalFormatting>
        <x14:conditionalFormatting xmlns:xm="http://schemas.microsoft.com/office/excel/2006/main">
          <x14:cfRule type="iconSet" priority="61" id="{1E574B26-5B85-4217-B3A7-9478BA05664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</xm:sqref>
        </x14:conditionalFormatting>
        <x14:conditionalFormatting xmlns:xm="http://schemas.microsoft.com/office/excel/2006/main">
          <x14:cfRule type="iconSet" priority="60" id="{BB607A4A-26FB-46EE-A920-B263B547EBB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</xm:sqref>
        </x14:conditionalFormatting>
        <x14:conditionalFormatting xmlns:xm="http://schemas.microsoft.com/office/excel/2006/main">
          <x14:cfRule type="iconSet" priority="41" id="{6245A6FC-326C-44C1-9E04-DF17C50E87E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E31</xm:sqref>
        </x14:conditionalFormatting>
        <x14:conditionalFormatting xmlns:xm="http://schemas.microsoft.com/office/excel/2006/main">
          <x14:cfRule type="iconSet" priority="40" id="{3BBC1CC9-AFD8-4B9B-B79D-41021ECBC9D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</xm:sqref>
        </x14:conditionalFormatting>
        <x14:conditionalFormatting xmlns:xm="http://schemas.microsoft.com/office/excel/2006/main">
          <x14:cfRule type="iconSet" priority="39" id="{8AC49025-30A2-458B-856C-192EC90F1D6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E33</xm:sqref>
        </x14:conditionalFormatting>
        <x14:conditionalFormatting xmlns:xm="http://schemas.microsoft.com/office/excel/2006/main">
          <x14:cfRule type="iconSet" priority="38" id="{1516EB52-D886-4B12-BA57-497D76A1578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</xm:sqref>
        </x14:conditionalFormatting>
        <x14:conditionalFormatting xmlns:xm="http://schemas.microsoft.com/office/excel/2006/main">
          <x14:cfRule type="iconSet" priority="37" id="{D08DD7C7-2C6A-4772-8466-24EF49BDB70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E35</xm:sqref>
        </x14:conditionalFormatting>
        <x14:conditionalFormatting xmlns:xm="http://schemas.microsoft.com/office/excel/2006/main">
          <x14:cfRule type="iconSet" priority="36" id="{EAA8C96D-F265-4F19-B4B3-C728725D1D4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E36:E39</xm:sqref>
        </x14:conditionalFormatting>
        <x14:conditionalFormatting xmlns:xm="http://schemas.microsoft.com/office/excel/2006/main">
          <x14:cfRule type="iconSet" priority="14" id="{BC4618F5-E471-4031-AE51-FB9B221CA21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G12</xm:sqref>
        </x14:conditionalFormatting>
        <x14:conditionalFormatting xmlns:xm="http://schemas.microsoft.com/office/excel/2006/main">
          <x14:cfRule type="iconSet" priority="13" id="{B5456850-8B67-48D0-B916-92A2825BCA5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G14</xm:sqref>
        </x14:conditionalFormatting>
        <x14:conditionalFormatting xmlns:xm="http://schemas.microsoft.com/office/excel/2006/main">
          <x14:cfRule type="iconSet" priority="12" id="{BF23CD83-38D1-43CF-A0F2-061EB0E003C7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G16</xm:sqref>
        </x14:conditionalFormatting>
        <x14:conditionalFormatting xmlns:xm="http://schemas.microsoft.com/office/excel/2006/main">
          <x14:cfRule type="iconSet" priority="11" id="{445DF9EF-4991-4D44-82FA-9E68CD1C36F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G18</xm:sqref>
        </x14:conditionalFormatting>
        <x14:conditionalFormatting xmlns:xm="http://schemas.microsoft.com/office/excel/2006/main">
          <x14:cfRule type="iconSet" priority="10" id="{51350695-1FFD-4BFE-9A2E-76ECA5D0B4D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G20</xm:sqref>
        </x14:conditionalFormatting>
        <x14:conditionalFormatting xmlns:xm="http://schemas.microsoft.com/office/excel/2006/main">
          <x14:cfRule type="iconSet" priority="9" id="{5735C323-C334-4EFB-8EF6-D7AE37DEA45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G22</xm:sqref>
        </x14:conditionalFormatting>
        <x14:conditionalFormatting xmlns:xm="http://schemas.microsoft.com/office/excel/2006/main">
          <x14:cfRule type="iconSet" priority="8" id="{758E3CBF-580E-4544-AF3C-30EDEE89AC7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G31</xm:sqref>
        </x14:conditionalFormatting>
        <x14:conditionalFormatting xmlns:xm="http://schemas.microsoft.com/office/excel/2006/main">
          <x14:cfRule type="iconSet" priority="7" id="{DD54D213-7DD9-4B2C-9AD7-3A697ADC825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G32</xm:sqref>
        </x14:conditionalFormatting>
        <x14:conditionalFormatting xmlns:xm="http://schemas.microsoft.com/office/excel/2006/main">
          <x14:cfRule type="iconSet" priority="6" id="{FCAD1B79-E256-40F0-8231-A33051752BC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G33</xm:sqref>
        </x14:conditionalFormatting>
        <x14:conditionalFormatting xmlns:xm="http://schemas.microsoft.com/office/excel/2006/main">
          <x14:cfRule type="iconSet" priority="5" id="{B0728BFF-EAEA-44F0-8615-67693E5D38F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G34</xm:sqref>
        </x14:conditionalFormatting>
        <x14:conditionalFormatting xmlns:xm="http://schemas.microsoft.com/office/excel/2006/main">
          <x14:cfRule type="iconSet" priority="4" id="{7065BA0C-84B7-47C0-9816-57835E1CF51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G35</xm:sqref>
        </x14:conditionalFormatting>
        <x14:conditionalFormatting xmlns:xm="http://schemas.microsoft.com/office/excel/2006/main">
          <x14:cfRule type="iconSet" priority="3" id="{2F627757-54E0-4F79-B75A-7F312535B79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G36</xm:sqref>
        </x14:conditionalFormatting>
        <x14:conditionalFormatting xmlns:xm="http://schemas.microsoft.com/office/excel/2006/main">
          <x14:cfRule type="iconSet" priority="59" id="{AA27D5C1-3993-4F43-A29D-73848B916632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I12</xm:sqref>
        </x14:conditionalFormatting>
        <x14:conditionalFormatting xmlns:xm="http://schemas.microsoft.com/office/excel/2006/main">
          <x14:cfRule type="iconSet" priority="58" id="{12EC5835-4660-4106-BE59-CE8A5BD55FF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I14</xm:sqref>
        </x14:conditionalFormatting>
        <x14:conditionalFormatting xmlns:xm="http://schemas.microsoft.com/office/excel/2006/main">
          <x14:cfRule type="iconSet" priority="57" id="{1DA6B889-6393-4E91-9292-4802A0B4520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I16</xm:sqref>
        </x14:conditionalFormatting>
        <x14:conditionalFormatting xmlns:xm="http://schemas.microsoft.com/office/excel/2006/main">
          <x14:cfRule type="iconSet" priority="56" id="{45490B59-865F-41AD-B830-FF6790DC635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I18</xm:sqref>
        </x14:conditionalFormatting>
        <x14:conditionalFormatting xmlns:xm="http://schemas.microsoft.com/office/excel/2006/main">
          <x14:cfRule type="iconSet" priority="55" id="{08F16220-86A2-4CC8-AF32-C723E98602F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I20</xm:sqref>
        </x14:conditionalFormatting>
        <x14:conditionalFormatting xmlns:xm="http://schemas.microsoft.com/office/excel/2006/main">
          <x14:cfRule type="iconSet" priority="54" id="{C1F3E8B4-DBA5-4BF2-8B9B-5F4F83691D2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I22</xm:sqref>
        </x14:conditionalFormatting>
        <x14:conditionalFormatting xmlns:xm="http://schemas.microsoft.com/office/excel/2006/main">
          <x14:cfRule type="iconSet" priority="35" id="{DB99D473-CA09-4915-98C8-6E099DC3710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I31</xm:sqref>
        </x14:conditionalFormatting>
        <x14:conditionalFormatting xmlns:xm="http://schemas.microsoft.com/office/excel/2006/main">
          <x14:cfRule type="iconSet" priority="34" id="{D570BF4C-BE36-4308-B084-E08E912A1EC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I32</xm:sqref>
        </x14:conditionalFormatting>
        <x14:conditionalFormatting xmlns:xm="http://schemas.microsoft.com/office/excel/2006/main">
          <x14:cfRule type="iconSet" priority="33" id="{99DB3D8D-C32F-48E7-BAA1-E30CA8875C2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I33</xm:sqref>
        </x14:conditionalFormatting>
        <x14:conditionalFormatting xmlns:xm="http://schemas.microsoft.com/office/excel/2006/main">
          <x14:cfRule type="iconSet" priority="32" id="{FC729202-9C6C-4B99-8CFD-44F66B7B1BB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I34</xm:sqref>
        </x14:conditionalFormatting>
        <x14:conditionalFormatting xmlns:xm="http://schemas.microsoft.com/office/excel/2006/main">
          <x14:cfRule type="iconSet" priority="31" id="{98637D42-97B2-4538-9731-E3E74A93CA6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I35</xm:sqref>
        </x14:conditionalFormatting>
        <x14:conditionalFormatting xmlns:xm="http://schemas.microsoft.com/office/excel/2006/main">
          <x14:cfRule type="iconSet" priority="30" id="{C8DAC318-693C-45EC-829C-66ED12D3C93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I36</xm:sqref>
        </x14:conditionalFormatting>
        <x14:conditionalFormatting xmlns:xm="http://schemas.microsoft.com/office/excel/2006/main">
          <x14:cfRule type="iconSet" priority="17" id="{EA0704D1-9241-432E-B700-871BDCE45BB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I37:I39</xm:sqref>
        </x14:conditionalFormatting>
        <x14:conditionalFormatting xmlns:xm="http://schemas.microsoft.com/office/excel/2006/main">
          <x14:cfRule type="iconSet" priority="53" id="{CD9B573A-0BDE-4B9D-A729-A53EC13C419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K12</xm:sqref>
        </x14:conditionalFormatting>
        <x14:conditionalFormatting xmlns:xm="http://schemas.microsoft.com/office/excel/2006/main">
          <x14:cfRule type="iconSet" priority="52" id="{333BFE8A-6E3F-466C-9745-B35FCE88976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K14</xm:sqref>
        </x14:conditionalFormatting>
        <x14:conditionalFormatting xmlns:xm="http://schemas.microsoft.com/office/excel/2006/main">
          <x14:cfRule type="iconSet" priority="51" id="{FF811213-F210-48B6-91EC-48C57A308A9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K16</xm:sqref>
        </x14:conditionalFormatting>
        <x14:conditionalFormatting xmlns:xm="http://schemas.microsoft.com/office/excel/2006/main">
          <x14:cfRule type="iconSet" priority="50" id="{0ECED3D5-FC45-4299-B700-FD1931D007F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K18</xm:sqref>
        </x14:conditionalFormatting>
        <x14:conditionalFormatting xmlns:xm="http://schemas.microsoft.com/office/excel/2006/main">
          <x14:cfRule type="iconSet" priority="49" id="{F83BEA29-DCFD-4B91-83AC-8EABB1BD40BB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K20</xm:sqref>
        </x14:conditionalFormatting>
        <x14:conditionalFormatting xmlns:xm="http://schemas.microsoft.com/office/excel/2006/main">
          <x14:cfRule type="iconSet" priority="48" id="{1F249520-AA86-41F4-BB35-EC4B655DE7C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K22</xm:sqref>
        </x14:conditionalFormatting>
        <x14:conditionalFormatting xmlns:xm="http://schemas.microsoft.com/office/excel/2006/main">
          <x14:cfRule type="iconSet" priority="29" id="{A3DA57BE-0FEC-463F-AD46-81DE2977300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K31</xm:sqref>
        </x14:conditionalFormatting>
        <x14:conditionalFormatting xmlns:xm="http://schemas.microsoft.com/office/excel/2006/main">
          <x14:cfRule type="iconSet" priority="28" id="{0B1DF514-7C9B-4BD1-942A-FFE5923C864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K32</xm:sqref>
        </x14:conditionalFormatting>
        <x14:conditionalFormatting xmlns:xm="http://schemas.microsoft.com/office/excel/2006/main">
          <x14:cfRule type="iconSet" priority="27" id="{A7D367C7-3BD7-423A-8E43-A3E77A4ED36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K33</xm:sqref>
        </x14:conditionalFormatting>
        <x14:conditionalFormatting xmlns:xm="http://schemas.microsoft.com/office/excel/2006/main">
          <x14:cfRule type="iconSet" priority="26" id="{9E7E54F8-9ACC-4497-92EF-A200644A08BF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K34</xm:sqref>
        </x14:conditionalFormatting>
        <x14:conditionalFormatting xmlns:xm="http://schemas.microsoft.com/office/excel/2006/main">
          <x14:cfRule type="iconSet" priority="25" id="{6B4036ED-FC1E-4BCE-BCCB-8C0F814E14E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K35</xm:sqref>
        </x14:conditionalFormatting>
        <x14:conditionalFormatting xmlns:xm="http://schemas.microsoft.com/office/excel/2006/main">
          <x14:cfRule type="iconSet" priority="24" id="{373F07EE-F183-44E1-88B3-81A5639C857E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K36</xm:sqref>
        </x14:conditionalFormatting>
        <x14:conditionalFormatting xmlns:xm="http://schemas.microsoft.com/office/excel/2006/main">
          <x14:cfRule type="iconSet" priority="16" id="{287B417B-7A0E-4F13-8E91-8DA86F78D48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K37:K39</xm:sqref>
        </x14:conditionalFormatting>
        <x14:conditionalFormatting xmlns:xm="http://schemas.microsoft.com/office/excel/2006/main">
          <x14:cfRule type="iconSet" priority="47" id="{0DE764A0-EE6E-4CE8-9032-1B4B84BBB215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M12</xm:sqref>
        </x14:conditionalFormatting>
        <x14:conditionalFormatting xmlns:xm="http://schemas.microsoft.com/office/excel/2006/main">
          <x14:cfRule type="iconSet" priority="46" id="{11E36C3A-364D-406A-820B-353033353338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M14</xm:sqref>
        </x14:conditionalFormatting>
        <x14:conditionalFormatting xmlns:xm="http://schemas.microsoft.com/office/excel/2006/main">
          <x14:cfRule type="iconSet" priority="45" id="{F292D718-C8FA-4357-BEF7-B0E62878B7F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M16</xm:sqref>
        </x14:conditionalFormatting>
        <x14:conditionalFormatting xmlns:xm="http://schemas.microsoft.com/office/excel/2006/main">
          <x14:cfRule type="iconSet" priority="44" id="{3978F788-E897-4267-9E21-D803537C351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M18</xm:sqref>
        </x14:conditionalFormatting>
        <x14:conditionalFormatting xmlns:xm="http://schemas.microsoft.com/office/excel/2006/main">
          <x14:cfRule type="iconSet" priority="43" id="{618E79A4-2419-46EF-9501-443688AF1E5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M20</xm:sqref>
        </x14:conditionalFormatting>
        <x14:conditionalFormatting xmlns:xm="http://schemas.microsoft.com/office/excel/2006/main">
          <x14:cfRule type="iconSet" priority="42" id="{7D383641-BE93-40EB-8B93-3791C21590D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M22</xm:sqref>
        </x14:conditionalFormatting>
        <x14:conditionalFormatting xmlns:xm="http://schemas.microsoft.com/office/excel/2006/main">
          <x14:cfRule type="iconSet" priority="23" id="{4C321352-941D-40F9-9B78-D61E2743B37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M31</xm:sqref>
        </x14:conditionalFormatting>
        <x14:conditionalFormatting xmlns:xm="http://schemas.microsoft.com/office/excel/2006/main">
          <x14:cfRule type="iconSet" priority="22" id="{FDE14C51-A03B-4DFC-95F6-B577202B363D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M32</xm:sqref>
        </x14:conditionalFormatting>
        <x14:conditionalFormatting xmlns:xm="http://schemas.microsoft.com/office/excel/2006/main">
          <x14:cfRule type="iconSet" priority="21" id="{90956DD1-B6F3-48E7-B421-5913DE8915F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M33</xm:sqref>
        </x14:conditionalFormatting>
        <x14:conditionalFormatting xmlns:xm="http://schemas.microsoft.com/office/excel/2006/main">
          <x14:cfRule type="iconSet" priority="20" id="{54BD262A-0C49-4EEF-B3FE-ED84A435CD36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M34</xm:sqref>
        </x14:conditionalFormatting>
        <x14:conditionalFormatting xmlns:xm="http://schemas.microsoft.com/office/excel/2006/main">
          <x14:cfRule type="iconSet" priority="19" id="{AA71593C-D1A2-44EB-8648-08E1BD6BF773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M35</xm:sqref>
        </x14:conditionalFormatting>
        <x14:conditionalFormatting xmlns:xm="http://schemas.microsoft.com/office/excel/2006/main">
          <x14:cfRule type="iconSet" priority="18" id="{F5CE709C-CD2E-418A-8719-14471B1F8DE1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M36</xm:sqref>
        </x14:conditionalFormatting>
        <x14:conditionalFormatting xmlns:xm="http://schemas.microsoft.com/office/excel/2006/main">
          <x14:cfRule type="iconSet" priority="15" id="{658F94FB-4C7B-4005-8ACD-EA422576ADEA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M37:M39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50"/>
  <sheetViews>
    <sheetView showGridLines="0" showRowColHeaders="0" workbookViewId="0">
      <selection activeCell="D3" sqref="D3:E3"/>
    </sheetView>
  </sheetViews>
  <sheetFormatPr baseColWidth="10" defaultColWidth="0" defaultRowHeight="15" zeroHeight="1" x14ac:dyDescent="0.25"/>
  <cols>
    <col min="1" max="1" width="8.7109375" customWidth="1"/>
    <col min="2" max="7" width="11.42578125" customWidth="1"/>
    <col min="8" max="8" width="6.140625" customWidth="1"/>
    <col min="9" max="9" width="8.28515625" customWidth="1"/>
    <col min="10" max="10" width="2.7109375" customWidth="1"/>
    <col min="11" max="16384" width="11.42578125" hidden="1"/>
  </cols>
  <sheetData>
    <row r="1" spans="1:9" ht="23.25" x14ac:dyDescent="0.35">
      <c r="A1" t="s">
        <v>938</v>
      </c>
      <c r="B1" s="301">
        <v>2</v>
      </c>
    </row>
    <row r="2" spans="1:9" x14ac:dyDescent="0.25"/>
    <row r="3" spans="1:9" x14ac:dyDescent="0.25"/>
    <row r="4" spans="1:9" ht="18.75" x14ac:dyDescent="0.3">
      <c r="A4" s="86" t="str">
        <f>VLOOKUP(39,TXT_K,$B$1,0)</f>
        <v>Wasserwiderstände für 2-Leitersysteme</v>
      </c>
    </row>
    <row r="5" spans="1:9" x14ac:dyDescent="0.25">
      <c r="A5" s="88" t="s">
        <v>1039</v>
      </c>
      <c r="B5" s="88"/>
      <c r="C5" s="88"/>
      <c r="D5" s="88"/>
      <c r="E5" s="88"/>
      <c r="F5" s="88"/>
      <c r="G5" s="88"/>
      <c r="H5" s="88"/>
      <c r="I5" s="88"/>
    </row>
    <row r="6" spans="1:9" x14ac:dyDescent="0.25"/>
    <row r="7" spans="1:9" x14ac:dyDescent="0.25"/>
    <row r="8" spans="1:9" x14ac:dyDescent="0.25"/>
    <row r="9" spans="1:9" x14ac:dyDescent="0.25">
      <c r="G9" s="87" t="str">
        <f>VLOOKUP(17,TXT_K,$B$1,0)</f>
        <v>Element He Länge [mm]</v>
      </c>
    </row>
    <row r="10" spans="1:9" ht="11.45" customHeight="1" x14ac:dyDescent="0.25">
      <c r="B10" s="430" t="str">
        <f>VLOOKUP(16,TXT_K,$B$1,0)</f>
        <v>Druckverlust [kPa]</v>
      </c>
    </row>
    <row r="11" spans="1:9" x14ac:dyDescent="0.25">
      <c r="B11" s="430"/>
    </row>
    <row r="12" spans="1:9" x14ac:dyDescent="0.25">
      <c r="B12" s="430"/>
    </row>
    <row r="13" spans="1:9" x14ac:dyDescent="0.25">
      <c r="B13" s="430"/>
    </row>
    <row r="14" spans="1:9" x14ac:dyDescent="0.25">
      <c r="B14" s="430"/>
    </row>
    <row r="15" spans="1:9" x14ac:dyDescent="0.25">
      <c r="B15" s="430"/>
    </row>
    <row r="16" spans="1:9" x14ac:dyDescent="0.25">
      <c r="B16" s="430"/>
    </row>
    <row r="17" spans="2:2" x14ac:dyDescent="0.25">
      <c r="B17" s="430"/>
    </row>
    <row r="18" spans="2:2" x14ac:dyDescent="0.25"/>
    <row r="19" spans="2:2" x14ac:dyDescent="0.25"/>
    <row r="20" spans="2:2" x14ac:dyDescent="0.25"/>
    <row r="21" spans="2:2" x14ac:dyDescent="0.25"/>
    <row r="22" spans="2:2" x14ac:dyDescent="0.25"/>
    <row r="23" spans="2:2" x14ac:dyDescent="0.25"/>
    <row r="24" spans="2:2" x14ac:dyDescent="0.25"/>
    <row r="25" spans="2:2" x14ac:dyDescent="0.25"/>
    <row r="26" spans="2:2" x14ac:dyDescent="0.25"/>
    <row r="27" spans="2:2" x14ac:dyDescent="0.25"/>
    <row r="28" spans="2:2" x14ac:dyDescent="0.25"/>
    <row r="29" spans="2:2" ht="28.5" customHeight="1" x14ac:dyDescent="0.25"/>
    <row r="30" spans="2:2" x14ac:dyDescent="0.25"/>
    <row r="31" spans="2:2" x14ac:dyDescent="0.25"/>
    <row r="32" spans="2:2" x14ac:dyDescent="0.25"/>
    <row r="33" spans="7:7" x14ac:dyDescent="0.25"/>
    <row r="34" spans="7:7" x14ac:dyDescent="0.25"/>
    <row r="35" spans="7:7" x14ac:dyDescent="0.25"/>
    <row r="36" spans="7:7" x14ac:dyDescent="0.25"/>
    <row r="37" spans="7:7" x14ac:dyDescent="0.25"/>
    <row r="38" spans="7:7" ht="9.75" customHeight="1" x14ac:dyDescent="0.25"/>
    <row r="39" spans="7:7" x14ac:dyDescent="0.25"/>
    <row r="40" spans="7:7" x14ac:dyDescent="0.25"/>
    <row r="41" spans="7:7" x14ac:dyDescent="0.25"/>
    <row r="42" spans="7:7" x14ac:dyDescent="0.25"/>
    <row r="43" spans="7:7" x14ac:dyDescent="0.25"/>
    <row r="44" spans="7:7" x14ac:dyDescent="0.25"/>
    <row r="45" spans="7:7" x14ac:dyDescent="0.25"/>
    <row r="46" spans="7:7" x14ac:dyDescent="0.25"/>
    <row r="47" spans="7:7" x14ac:dyDescent="0.25">
      <c r="G47" s="87" t="str">
        <f>VLOOKUP(15,TXT_K,$B$1,0)</f>
        <v>ṁ: Wassermassenstrom [kg/h]</v>
      </c>
    </row>
    <row r="48" spans="7:7" x14ac:dyDescent="0.25"/>
    <row r="49" spans="9:9" x14ac:dyDescent="0.25">
      <c r="I49" s="73" t="s">
        <v>1036</v>
      </c>
    </row>
    <row r="50" spans="9:9" x14ac:dyDescent="0.25"/>
  </sheetData>
  <sheetProtection algorithmName="SHA-512" hashValue="3+k/vcNWu5jLEqPd8dLLNPGpQZv8JdSuL2FKY5SCmLZcUM6UYrTR65VaLg3VOcGSjlKr4QRIQiowQJNtDW3sPg==" saltValue="wgTg17PKAQair9uZ7X9XTg==" spinCount="100000" sheet="1" objects="1" scenarios="1" selectLockedCells="1"/>
  <mergeCells count="1">
    <mergeCell ref="B10:B17"/>
  </mergeCells>
  <dataValidations count="1">
    <dataValidation type="whole" allowBlank="1" showInputMessage="1" showErrorMessage="1" sqref="B1" xr:uid="{937AE24E-03EA-4A0D-B5BC-61B37CE4D2FF}">
      <formula1>2</formula1>
      <formula2>3</formula2>
    </dataValidation>
  </dataValidations>
  <pageMargins left="0.51181102362204722" right="0.31496062992125984" top="0.94488188976377963" bottom="0.55118110236220474" header="0.31496062992125984" footer="0.11811023622047245"/>
  <pageSetup paperSize="9" orientation="portrait" r:id="rId1"/>
  <headerFooter>
    <oddHeader>&amp;C&amp;G</oddHeader>
    <oddFooter>&amp;C&amp;G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50"/>
  <sheetViews>
    <sheetView showGridLines="0" showRowColHeaders="0" workbookViewId="0">
      <selection activeCell="D3" sqref="D3:E3"/>
    </sheetView>
  </sheetViews>
  <sheetFormatPr baseColWidth="10" defaultColWidth="0" defaultRowHeight="15" zeroHeight="1" x14ac:dyDescent="0.25"/>
  <cols>
    <col min="1" max="1" width="9" customWidth="1"/>
    <col min="2" max="6" width="11.42578125" customWidth="1"/>
    <col min="7" max="7" width="9.7109375" customWidth="1"/>
    <col min="8" max="8" width="5.5703125" customWidth="1"/>
    <col min="9" max="9" width="8.5703125" customWidth="1"/>
    <col min="10" max="10" width="2.7109375" customWidth="1"/>
    <col min="11" max="16384" width="11.42578125" hidden="1"/>
  </cols>
  <sheetData>
    <row r="1" spans="1:9" ht="23.25" x14ac:dyDescent="0.35">
      <c r="A1" t="s">
        <v>938</v>
      </c>
      <c r="B1" s="301">
        <v>2</v>
      </c>
    </row>
    <row r="2" spans="1:9" x14ac:dyDescent="0.25"/>
    <row r="3" spans="1:9" x14ac:dyDescent="0.25"/>
    <row r="4" spans="1:9" ht="18.75" x14ac:dyDescent="0.3">
      <c r="A4" s="86" t="str">
        <f>VLOOKUP(40,TXT_K,$B$1,0)</f>
        <v>Wasserwiderstände für 4-Leitersysteme</v>
      </c>
    </row>
    <row r="5" spans="1:9" x14ac:dyDescent="0.25">
      <c r="A5" s="88" t="s">
        <v>1044</v>
      </c>
      <c r="B5" s="88"/>
      <c r="C5" s="88"/>
      <c r="D5" s="88"/>
      <c r="E5" s="88"/>
      <c r="F5" s="88"/>
      <c r="G5" s="88"/>
      <c r="H5" s="88"/>
      <c r="I5" s="88"/>
    </row>
    <row r="6" spans="1:9" x14ac:dyDescent="0.25"/>
    <row r="7" spans="1:9" x14ac:dyDescent="0.25"/>
    <row r="8" spans="1:9" x14ac:dyDescent="0.25">
      <c r="G8" s="87" t="str">
        <f>VLOOKUP(17,TXT_K,$B$1,0)</f>
        <v>Element He Länge [mm]</v>
      </c>
    </row>
    <row r="9" spans="1:9" x14ac:dyDescent="0.25"/>
    <row r="10" spans="1:9" ht="11.45" customHeight="1" x14ac:dyDescent="0.25">
      <c r="B10" s="430" t="str">
        <f>VLOOKUP(16,TXT_K,$B$1,0)</f>
        <v>Druckverlust [kPa]</v>
      </c>
    </row>
    <row r="11" spans="1:9" x14ac:dyDescent="0.25">
      <c r="B11" s="430"/>
      <c r="H11" s="89" t="str">
        <f>VLOOKUP(19,TXT_K,$B$1,0)</f>
        <v>Kühlen</v>
      </c>
    </row>
    <row r="12" spans="1:9" x14ac:dyDescent="0.25">
      <c r="B12" s="430"/>
    </row>
    <row r="13" spans="1:9" x14ac:dyDescent="0.25">
      <c r="B13" s="430"/>
    </row>
    <row r="14" spans="1:9" x14ac:dyDescent="0.25">
      <c r="B14" s="430"/>
    </row>
    <row r="15" spans="1:9" x14ac:dyDescent="0.25">
      <c r="B15" s="430"/>
    </row>
    <row r="16" spans="1:9" x14ac:dyDescent="0.25">
      <c r="B16" s="430"/>
    </row>
    <row r="17" spans="2:8" x14ac:dyDescent="0.25">
      <c r="B17" s="430"/>
      <c r="H17" s="84" t="str">
        <f>VLOOKUP(18,TXT_K,$B$1,0)</f>
        <v>Heizen</v>
      </c>
    </row>
    <row r="18" spans="2:8" x14ac:dyDescent="0.25"/>
    <row r="19" spans="2:8" x14ac:dyDescent="0.25"/>
    <row r="20" spans="2:8" x14ac:dyDescent="0.25"/>
    <row r="21" spans="2:8" x14ac:dyDescent="0.25"/>
    <row r="22" spans="2:8" x14ac:dyDescent="0.25"/>
    <row r="23" spans="2:8" x14ac:dyDescent="0.25"/>
    <row r="24" spans="2:8" x14ac:dyDescent="0.25"/>
    <row r="25" spans="2:8" x14ac:dyDescent="0.25"/>
    <row r="26" spans="2:8" x14ac:dyDescent="0.25"/>
    <row r="27" spans="2:8" x14ac:dyDescent="0.25"/>
    <row r="28" spans="2:8" x14ac:dyDescent="0.25"/>
    <row r="29" spans="2:8" ht="28.5" customHeight="1" x14ac:dyDescent="0.25"/>
    <row r="30" spans="2:8" x14ac:dyDescent="0.25"/>
    <row r="31" spans="2:8" x14ac:dyDescent="0.25"/>
    <row r="32" spans="2:8" x14ac:dyDescent="0.25"/>
    <row r="33" spans="7:7" x14ac:dyDescent="0.25"/>
    <row r="34" spans="7:7" x14ac:dyDescent="0.25"/>
    <row r="35" spans="7:7" x14ac:dyDescent="0.25"/>
    <row r="36" spans="7:7" x14ac:dyDescent="0.25"/>
    <row r="37" spans="7:7" x14ac:dyDescent="0.25"/>
    <row r="38" spans="7:7" ht="9.75" customHeight="1" x14ac:dyDescent="0.25"/>
    <row r="39" spans="7:7" x14ac:dyDescent="0.25"/>
    <row r="40" spans="7:7" x14ac:dyDescent="0.25"/>
    <row r="41" spans="7:7" x14ac:dyDescent="0.25"/>
    <row r="42" spans="7:7" x14ac:dyDescent="0.25"/>
    <row r="43" spans="7:7" x14ac:dyDescent="0.25"/>
    <row r="44" spans="7:7" x14ac:dyDescent="0.25"/>
    <row r="45" spans="7:7" x14ac:dyDescent="0.25"/>
    <row r="46" spans="7:7" x14ac:dyDescent="0.25"/>
    <row r="47" spans="7:7" x14ac:dyDescent="0.25"/>
    <row r="48" spans="7:7" x14ac:dyDescent="0.25">
      <c r="G48" s="87" t="str">
        <f>VLOOKUP(15,TXT_K,$B$1,0)</f>
        <v>ṁ: Wassermassenstrom [kg/h]</v>
      </c>
    </row>
    <row r="49" spans="9:9" x14ac:dyDescent="0.25">
      <c r="I49" s="73" t="s">
        <v>1036</v>
      </c>
    </row>
    <row r="50" spans="9:9" x14ac:dyDescent="0.25"/>
  </sheetData>
  <sheetProtection algorithmName="SHA-512" hashValue="bff9rXrrzmdhwzsGWg3ftTJwob6o6GMRH6F05ol93q6F5/FHePD07V7M5PPc/8dgHThz3PG56mkosDzJtj5wbQ==" saltValue="35PTedWQEade1o+jkl5bJw==" spinCount="100000" sheet="1" objects="1" scenarios="1" selectLockedCells="1"/>
  <mergeCells count="1">
    <mergeCell ref="B10:B17"/>
  </mergeCells>
  <dataValidations count="1">
    <dataValidation type="whole" allowBlank="1" showInputMessage="1" showErrorMessage="1" sqref="B1" xr:uid="{CF72EB4F-B9F7-4F49-84F9-18F5889DD1CF}">
      <formula1>2</formula1>
      <formula2>3</formula2>
    </dataValidation>
  </dataValidations>
  <pageMargins left="0.51181102362204722" right="0.31496062992125984" top="0.94488188976377963" bottom="0.55118110236220474" header="0.31496062992125984" footer="0.11811023622047245"/>
  <pageSetup paperSize="9" orientation="portrait" r:id="rId1"/>
  <headerFooter>
    <oddHeader>&amp;C&amp;G</oddHeader>
    <oddFooter>&amp;C&amp;G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A3FCC-9875-4269-B07F-8DE4C445381C}">
  <dimension ref="A1:O57"/>
  <sheetViews>
    <sheetView showGridLines="0" showRowColHeaders="0" workbookViewId="0">
      <selection activeCell="D3" sqref="D3:E3"/>
    </sheetView>
  </sheetViews>
  <sheetFormatPr baseColWidth="10" defaultColWidth="0" defaultRowHeight="12.75" zeroHeight="1" x14ac:dyDescent="0.2"/>
  <cols>
    <col min="1" max="1" width="2.7109375" style="101" customWidth="1"/>
    <col min="2" max="2" width="4.42578125" style="101" customWidth="1"/>
    <col min="3" max="3" width="5.5703125" style="140" customWidth="1"/>
    <col min="4" max="4" width="8" style="140" customWidth="1"/>
    <col min="5" max="10" width="8.28515625" style="140" customWidth="1"/>
    <col min="11" max="13" width="8.28515625" style="101" customWidth="1"/>
    <col min="14" max="14" width="2.7109375" style="101" customWidth="1"/>
    <col min="15" max="15" width="11.5703125" style="101" hidden="1" customWidth="1"/>
    <col min="16" max="16384" width="11.42578125" style="101" hidden="1"/>
  </cols>
  <sheetData>
    <row r="1" spans="2:13" x14ac:dyDescent="0.2"/>
    <row r="2" spans="2:13" ht="15" x14ac:dyDescent="0.25">
      <c r="B2"/>
      <c r="C2" s="101"/>
      <c r="D2" s="433" t="s">
        <v>936</v>
      </c>
      <c r="E2" s="434"/>
      <c r="F2" s="435" t="s">
        <v>938</v>
      </c>
      <c r="G2" s="436"/>
    </row>
    <row r="3" spans="2:13" ht="23.25" customHeight="1" x14ac:dyDescent="0.35">
      <c r="B3" s="453" t="s">
        <v>933</v>
      </c>
      <c r="C3" s="453"/>
      <c r="D3" s="431">
        <v>75</v>
      </c>
      <c r="E3" s="431"/>
      <c r="F3" s="432">
        <v>2</v>
      </c>
      <c r="G3" s="432"/>
    </row>
    <row r="4" spans="2:13" ht="23.25" customHeight="1" x14ac:dyDescent="0.35">
      <c r="B4" s="453" t="s">
        <v>934</v>
      </c>
      <c r="C4" s="453"/>
      <c r="D4" s="431">
        <v>65</v>
      </c>
      <c r="E4" s="431"/>
      <c r="F4" s="432"/>
      <c r="G4" s="432"/>
      <c r="I4" s="287" t="str">
        <f>IF(OR((D3-D4)&lt;3,(D4-D5)&lt;3,(D3-D4)&gt;25,D5&lt;15,ISERROR(E18)),"Bitte überprüfen Sie ihre Eingaben!","")</f>
        <v/>
      </c>
    </row>
    <row r="5" spans="2:13" ht="23.25" customHeight="1" x14ac:dyDescent="0.35">
      <c r="B5" s="453" t="s">
        <v>935</v>
      </c>
      <c r="C5" s="453"/>
      <c r="D5" s="431">
        <v>20</v>
      </c>
      <c r="E5" s="431"/>
      <c r="F5" s="432"/>
      <c r="G5" s="432"/>
    </row>
    <row r="6" spans="2:13" s="102" customFormat="1" ht="12.75" customHeight="1" x14ac:dyDescent="0.2">
      <c r="B6" s="128"/>
      <c r="C6" s="129"/>
      <c r="D6" s="129"/>
      <c r="E6" s="129"/>
      <c r="F6" s="130"/>
      <c r="G6" s="130"/>
      <c r="H6" s="130"/>
      <c r="I6" s="131"/>
      <c r="J6" s="131"/>
      <c r="K6" s="132"/>
    </row>
    <row r="7" spans="2:13" s="102" customFormat="1" ht="24.75" customHeight="1" x14ac:dyDescent="0.3">
      <c r="B7" s="461" t="str">
        <f>VLOOKUP(41,TXT,$F$3,0)</f>
        <v>Bodenkonvektor Modell FAN-090</v>
      </c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</row>
    <row r="8" spans="2:13" s="102" customFormat="1" ht="22.5" customHeight="1" x14ac:dyDescent="0.2">
      <c r="B8" s="462" t="str">
        <f>VLOOKUP(42,TXT,$F$3,0)</f>
        <v>mit stufenloser Querstromventilatoren EC40  24V</v>
      </c>
      <c r="C8" s="462"/>
      <c r="D8" s="462"/>
      <c r="E8" s="462"/>
      <c r="F8" s="462"/>
      <c r="G8" s="462"/>
      <c r="H8" s="462"/>
      <c r="I8" s="462"/>
      <c r="J8" s="462"/>
      <c r="K8" s="462"/>
      <c r="L8" s="462"/>
      <c r="M8" s="462"/>
    </row>
    <row r="9" spans="2:13" s="102" customFormat="1" ht="9.75" customHeight="1" x14ac:dyDescent="0.2">
      <c r="C9" s="133"/>
      <c r="D9" s="133"/>
      <c r="E9" s="133"/>
      <c r="F9" s="133"/>
      <c r="G9" s="133"/>
      <c r="H9" s="133"/>
      <c r="I9" s="133"/>
      <c r="J9" s="133"/>
    </row>
    <row r="10" spans="2:13" s="102" customFormat="1" ht="35.25" customHeight="1" x14ac:dyDescent="0.2">
      <c r="B10" s="451" t="str">
        <f>VLOOKUP(10,TXT,$F$3,0)</f>
        <v>Heizmedium</v>
      </c>
      <c r="C10" s="451"/>
      <c r="D10" s="451"/>
      <c r="E10" s="452" t="str">
        <f>CONCATENATE(D3,"° / ",D4," °C")</f>
        <v>75° / 65 °C</v>
      </c>
      <c r="F10" s="452"/>
      <c r="G10" s="452"/>
      <c r="H10" s="234"/>
      <c r="I10" s="234"/>
      <c r="J10" s="235" t="str">
        <f>VLOOKUP(11,TXT,$F$3,0)</f>
        <v>Raumtemperatur</v>
      </c>
      <c r="K10" s="460">
        <f>SUM(D5)</f>
        <v>20</v>
      </c>
      <c r="L10" s="460"/>
      <c r="M10" s="460"/>
    </row>
    <row r="11" spans="2:13" s="102" customFormat="1" ht="9.75" customHeight="1" x14ac:dyDescent="0.2">
      <c r="C11" s="133"/>
      <c r="D11" s="133"/>
      <c r="E11" s="133"/>
      <c r="F11" s="133"/>
      <c r="G11" s="133"/>
      <c r="H11" s="133"/>
      <c r="I11" s="133"/>
      <c r="J11" s="133"/>
    </row>
    <row r="12" spans="2:13" ht="24.75" customHeight="1" x14ac:dyDescent="0.25">
      <c r="B12" s="465" t="str">
        <f>VLOOKUP(9,TXT,$F$3,0)</f>
        <v>Modell</v>
      </c>
      <c r="C12" s="466"/>
      <c r="D12" s="467"/>
      <c r="E12" s="468" t="s">
        <v>1348</v>
      </c>
      <c r="F12" s="469"/>
      <c r="G12" s="470"/>
      <c r="H12" s="468" t="s">
        <v>1349</v>
      </c>
      <c r="I12" s="469"/>
      <c r="J12" s="470"/>
      <c r="K12" s="468" t="s">
        <v>1350</v>
      </c>
      <c r="L12" s="469"/>
      <c r="M12" s="470"/>
    </row>
    <row r="13" spans="2:13" x14ac:dyDescent="0.2">
      <c r="B13" s="441" t="s">
        <v>1351</v>
      </c>
      <c r="C13" s="442"/>
      <c r="D13" s="443"/>
      <c r="E13" s="446">
        <v>192</v>
      </c>
      <c r="F13" s="447"/>
      <c r="G13" s="448"/>
      <c r="H13" s="446">
        <v>224</v>
      </c>
      <c r="I13" s="447"/>
      <c r="J13" s="448"/>
      <c r="K13" s="446">
        <v>272</v>
      </c>
      <c r="L13" s="447"/>
      <c r="M13" s="448"/>
    </row>
    <row r="14" spans="2:13" x14ac:dyDescent="0.2">
      <c r="B14" s="441" t="s">
        <v>1352</v>
      </c>
      <c r="C14" s="442"/>
      <c r="D14" s="443"/>
      <c r="E14" s="446">
        <v>90</v>
      </c>
      <c r="F14" s="447"/>
      <c r="G14" s="448"/>
      <c r="H14" s="446">
        <v>90</v>
      </c>
      <c r="I14" s="447"/>
      <c r="J14" s="448"/>
      <c r="K14" s="446">
        <v>90</v>
      </c>
      <c r="L14" s="447"/>
      <c r="M14" s="448"/>
    </row>
    <row r="15" spans="2:13" x14ac:dyDescent="0.2">
      <c r="B15" s="236"/>
      <c r="C15" s="237"/>
      <c r="D15" s="238"/>
      <c r="E15" s="457" t="s">
        <v>1353</v>
      </c>
      <c r="F15" s="458"/>
      <c r="G15" s="459"/>
      <c r="H15" s="457" t="s">
        <v>1354</v>
      </c>
      <c r="I15" s="458"/>
      <c r="J15" s="459"/>
      <c r="K15" s="457" t="s">
        <v>1355</v>
      </c>
      <c r="L15" s="458"/>
      <c r="M15" s="459"/>
    </row>
    <row r="16" spans="2:13" ht="21" customHeight="1" x14ac:dyDescent="0.2">
      <c r="B16" s="236"/>
      <c r="C16" s="237"/>
      <c r="D16" s="238" t="str">
        <f>VLOOKUP(30,TXT,$F$3,0)</f>
        <v>Stufe</v>
      </c>
      <c r="E16" s="239">
        <v>0.3</v>
      </c>
      <c r="F16" s="240">
        <v>0.5</v>
      </c>
      <c r="G16" s="241">
        <v>0.8</v>
      </c>
      <c r="H16" s="239">
        <v>0.3</v>
      </c>
      <c r="I16" s="240">
        <v>0.5</v>
      </c>
      <c r="J16" s="241">
        <v>0.8</v>
      </c>
      <c r="K16" s="239">
        <v>0.3</v>
      </c>
      <c r="L16" s="240">
        <v>0.5</v>
      </c>
      <c r="M16" s="241">
        <v>0.8</v>
      </c>
    </row>
    <row r="17" spans="2:15" ht="21.75" customHeight="1" x14ac:dyDescent="0.2">
      <c r="B17" s="441" t="s">
        <v>1356</v>
      </c>
      <c r="C17" s="442"/>
      <c r="D17" s="242" t="s">
        <v>970</v>
      </c>
      <c r="E17" s="449" t="str">
        <f>VLOOKUP(13,TXT,$F$3,0)</f>
        <v>Leistungen [W]</v>
      </c>
      <c r="F17" s="450"/>
      <c r="G17" s="450"/>
      <c r="H17" s="450"/>
      <c r="I17" s="450" t="str">
        <f>VLOOKUP(45,TXT,$F$3,0)</f>
        <v>Wassermassenstrom [kg/h] *</v>
      </c>
      <c r="J17" s="450"/>
      <c r="K17" s="450"/>
      <c r="L17" s="450"/>
      <c r="M17" s="463"/>
    </row>
    <row r="18" spans="2:15" x14ac:dyDescent="0.2">
      <c r="B18" s="455">
        <v>950</v>
      </c>
      <c r="C18" s="456"/>
      <c r="D18" s="464" t="s">
        <v>971</v>
      </c>
      <c r="E18" s="134">
        <f>ROUND('BASE-FAN90-EC40-5'!B$3*($B18-300-($O18*800))*(VLOOKUP(ROUND(((($D$3+$D$4)/2)-$D$5),2),FAKT_C109,2,-1))+'BASE-FAN90-EC40-5'!B$2*$O18*(VLOOKUP(ROUND(((($D$3+$D$4)/2)-$D$5),3),FAKT_C109,3,-1)),0)</f>
        <v>198</v>
      </c>
      <c r="F18" s="135">
        <f>ROUND('BASE-FAN90-EC40-5'!C$3*($B18-300-($O18*800))*(VLOOKUP(ROUND(((($D$3+$D$4)/2)-$D$5),2),FAKT_C109,2,-1))+'BASE-FAN90-EC40-5'!C$2*$O18*(VLOOKUP(ROUND(((($D$3+$D$4)/2)-$D$5),3),FAKT_C109,3,-1)),0)</f>
        <v>260</v>
      </c>
      <c r="G18" s="136">
        <f>ROUND('BASE-FAN90-EC40-5'!D$3*($B18-300-($O18*800))*(VLOOKUP(ROUND(((($D$3+$D$4)/2)-$D$5),2),FAKT_C109,2,-1))+'BASE-FAN90-EC40-5'!D$2*$O18*(VLOOKUP(ROUND(((($D$3+$D$4)/2)-$D$5),3),FAKT_C109,3,-1)),0)</f>
        <v>324</v>
      </c>
      <c r="H18" s="134">
        <f>ROUND('BASE-FAN90-EC40-5'!E$3*($B18-300-($O18*800))*(VLOOKUP(ROUND(((($D$3+$D$4)/2)-$D$5),2),FAKT_C109,2,-1))+'BASE-FAN90-EC40-5'!E$2*$O18*(VLOOKUP(ROUND(((($D$3+$D$4)/2)-$D$5),3),FAKT_C109,3,-1)),0)</f>
        <v>311</v>
      </c>
      <c r="I18" s="135">
        <f>ROUND('BASE-FAN90-EC40-5'!F$3*($B18-300-($O18*800))*(VLOOKUP(ROUND(((($D$3+$D$4)/2)-$D$5),2),FAKT_C109,2,-1))+'BASE-FAN90-EC40-5'!F$2*$O18*(VLOOKUP(ROUND(((($D$3+$D$4)/2)-$D$5),3),FAKT_C109,3,-1)),0)</f>
        <v>429</v>
      </c>
      <c r="J18" s="136">
        <f>ROUND('BASE-FAN90-EC40-5'!G$3*($B18-300-($O18*800))*(VLOOKUP(ROUND(((($D$3+$D$4)/2)-$D$5),2),FAKT_C109,2,-1))+'BASE-FAN90-EC40-5'!G$2*$O18*(VLOOKUP(ROUND(((($D$3+$D$4)/2)-$D$5),3),FAKT_C109,3,-1)),0)</f>
        <v>543</v>
      </c>
      <c r="K18" s="134">
        <f>ROUND('BASE-FAN90-EC40-5'!H$3*($B18-300-($O18*800))*(VLOOKUP(ROUND(((($D$3+$D$4)/2)-$D$5),2),FAKT_C109,2,-1))+'BASE-FAN90-EC40-5'!H$2*$O18*(VLOOKUP(ROUND(((($D$3+$D$4)/2)-$D$5),3),FAKT_C109,3,-1)),0)</f>
        <v>384</v>
      </c>
      <c r="L18" s="135">
        <f>ROUND('BASE-FAN90-EC40-5'!I$3*($B18-300-($O18*800))*(VLOOKUP(ROUND(((($D$3+$D$4)/2)-$D$5),2),FAKT_C109,2,-1))+'BASE-FAN90-EC40-5'!I$2*$O18*(VLOOKUP(ROUND(((($D$3+$D$4)/2)-$D$5),3),FAKT_C109,3,-1)),0)</f>
        <v>514</v>
      </c>
      <c r="M18" s="136">
        <f>ROUND('BASE-FAN90-EC40-5'!J$3*($B18-300-($O18*800))*(VLOOKUP(ROUND(((($D$3+$D$4)/2)-$D$5),2),FAKT_C109,2,-1))+'BASE-FAN90-EC40-5'!J$2*$O18*(VLOOKUP(ROUND(((($D$3+$D$4)/2)-$D$5),3),FAKT_C109,3,-1)),0)</f>
        <v>655</v>
      </c>
      <c r="O18" s="445">
        <v>0.5</v>
      </c>
    </row>
    <row r="19" spans="2:15" x14ac:dyDescent="0.2">
      <c r="B19" s="455"/>
      <c r="C19" s="456"/>
      <c r="D19" s="445"/>
      <c r="E19" s="137">
        <f t="shared" ref="E19:M19" si="0">ROUNDDOWN(E18/(1.161*($D$3-$D$4)),0)</f>
        <v>17</v>
      </c>
      <c r="F19" s="138">
        <f t="shared" si="0"/>
        <v>22</v>
      </c>
      <c r="G19" s="139">
        <f t="shared" si="0"/>
        <v>27</v>
      </c>
      <c r="H19" s="137">
        <f t="shared" si="0"/>
        <v>26</v>
      </c>
      <c r="I19" s="138">
        <f t="shared" si="0"/>
        <v>36</v>
      </c>
      <c r="J19" s="139">
        <f t="shared" si="0"/>
        <v>46</v>
      </c>
      <c r="K19" s="137">
        <f t="shared" si="0"/>
        <v>33</v>
      </c>
      <c r="L19" s="138">
        <f t="shared" si="0"/>
        <v>44</v>
      </c>
      <c r="M19" s="139">
        <f t="shared" si="0"/>
        <v>56</v>
      </c>
      <c r="O19" s="445"/>
    </row>
    <row r="20" spans="2:15" x14ac:dyDescent="0.2">
      <c r="B20" s="437">
        <v>1300</v>
      </c>
      <c r="C20" s="438"/>
      <c r="D20" s="439" t="s">
        <v>972</v>
      </c>
      <c r="E20" s="243">
        <f>ROUND('BASE-FAN90-EC40-5'!B$3*($B20-300-($O20*800))*(VLOOKUP(ROUND(((($D$3+$D$4)/2)-$D$5),2),FAKT_C109,2,-1))+'BASE-FAN90-EC40-5'!B$2*$O20*(VLOOKUP(ROUND(((($D$3+$D$4)/2)-$D$5),3),FAKT_C109,3,-1)),0)</f>
        <v>355</v>
      </c>
      <c r="F20" s="244">
        <f>ROUND('BASE-FAN90-EC40-5'!C$3*($B20-300-($O20*800))*(VLOOKUP(ROUND(((($D$3+$D$4)/2)-$D$5),2),FAKT_C109,2,-1))+'BASE-FAN90-EC40-5'!C$2*$O20*(VLOOKUP(ROUND(((($D$3+$D$4)/2)-$D$5),3),FAKT_C109,3,-1)),0)</f>
        <v>479</v>
      </c>
      <c r="G20" s="245">
        <f>ROUND('BASE-FAN90-EC40-5'!D$3*($B20-300-($O20*800))*(VLOOKUP(ROUND(((($D$3+$D$4)/2)-$D$5),2),FAKT_C109,2,-1))+'BASE-FAN90-EC40-5'!D$2*$O20*(VLOOKUP(ROUND(((($D$3+$D$4)/2)-$D$5),3),FAKT_C109,3,-1)),0)</f>
        <v>607</v>
      </c>
      <c r="H20" s="243">
        <f>ROUND('BASE-FAN90-EC40-5'!E$3*($B20-300-($O20*800))*(VLOOKUP(ROUND(((($D$3+$D$4)/2)-$D$5),2),FAKT_C109,2,-1))+'BASE-FAN90-EC40-5'!E$2*$O20*(VLOOKUP(ROUND(((($D$3+$D$4)/2)-$D$5),3),FAKT_C109,3,-1)),0)</f>
        <v>563</v>
      </c>
      <c r="I20" s="244">
        <f>ROUND('BASE-FAN90-EC40-5'!F$3*($B20-300-($O20*800))*(VLOOKUP(ROUND(((($D$3+$D$4)/2)-$D$5),2),FAKT_C109,2,-1))+'BASE-FAN90-EC40-5'!F$2*$O20*(VLOOKUP(ROUND(((($D$3+$D$4)/2)-$D$5),3),FAKT_C109,3,-1)),0)</f>
        <v>798</v>
      </c>
      <c r="J20" s="245">
        <f>ROUND('BASE-FAN90-EC40-5'!G$3*($B20-300-($O20*800))*(VLOOKUP(ROUND(((($D$3+$D$4)/2)-$D$5),2),FAKT_C109,2,-1))+'BASE-FAN90-EC40-5'!G$2*$O20*(VLOOKUP(ROUND(((($D$3+$D$4)/2)-$D$5),3),FAKT_C109,3,-1)),0)</f>
        <v>1027</v>
      </c>
      <c r="K20" s="243">
        <f>ROUND('BASE-FAN90-EC40-5'!H$3*($B20-300-($O20*800))*(VLOOKUP(ROUND(((($D$3+$D$4)/2)-$D$5),2),FAKT_C109,2,-1))+'BASE-FAN90-EC40-5'!H$2*$O20*(VLOOKUP(ROUND(((($D$3+$D$4)/2)-$D$5),3),FAKT_C109,3,-1)),0)</f>
        <v>680</v>
      </c>
      <c r="L20" s="244">
        <f>ROUND('BASE-FAN90-EC40-5'!I$3*($B20-300-($O20*800))*(VLOOKUP(ROUND(((($D$3+$D$4)/2)-$D$5),2),FAKT_C109,2,-1))+'BASE-FAN90-EC40-5'!I$2*$O20*(VLOOKUP(ROUND(((($D$3+$D$4)/2)-$D$5),3),FAKT_C109,3,-1)),0)</f>
        <v>939</v>
      </c>
      <c r="M20" s="245">
        <f>ROUND('BASE-FAN90-EC40-5'!J$3*($B20-300-($O20*800))*(VLOOKUP(ROUND(((($D$3+$D$4)/2)-$D$5),2),FAKT_C109,2,-1))+'BASE-FAN90-EC40-5'!J$2*$O20*(VLOOKUP(ROUND(((($D$3+$D$4)/2)-$D$5),3),FAKT_C109,3,-1)),0)</f>
        <v>1221</v>
      </c>
      <c r="O20" s="454">
        <v>1</v>
      </c>
    </row>
    <row r="21" spans="2:15" x14ac:dyDescent="0.2">
      <c r="B21" s="437"/>
      <c r="C21" s="438"/>
      <c r="D21" s="440"/>
      <c r="E21" s="246">
        <f t="shared" ref="E21:M21" si="1">ROUNDDOWN(E20/(1.161*($D$3-$D$4)),0)</f>
        <v>30</v>
      </c>
      <c r="F21" s="247">
        <f t="shared" si="1"/>
        <v>41</v>
      </c>
      <c r="G21" s="248">
        <f t="shared" si="1"/>
        <v>52</v>
      </c>
      <c r="H21" s="246">
        <f t="shared" si="1"/>
        <v>48</v>
      </c>
      <c r="I21" s="247">
        <f t="shared" si="1"/>
        <v>68</v>
      </c>
      <c r="J21" s="248">
        <f t="shared" si="1"/>
        <v>88</v>
      </c>
      <c r="K21" s="246">
        <f t="shared" si="1"/>
        <v>58</v>
      </c>
      <c r="L21" s="247">
        <f t="shared" si="1"/>
        <v>80</v>
      </c>
      <c r="M21" s="248">
        <f t="shared" si="1"/>
        <v>105</v>
      </c>
      <c r="O21" s="454"/>
    </row>
    <row r="22" spans="2:15" x14ac:dyDescent="0.2">
      <c r="B22" s="455">
        <v>1750</v>
      </c>
      <c r="C22" s="456"/>
      <c r="D22" s="444" t="s">
        <v>973</v>
      </c>
      <c r="E22" s="134">
        <f>ROUND('BASE-FAN90-EC40-5'!B$3*($B22-300-($O22*800))*(VLOOKUP(ROUND(((($D$3+$D$4)/2)-$D$5),2),FAKT_C109,2,-1))+'BASE-FAN90-EC40-5'!B$2*$O22*(VLOOKUP(ROUND(((($D$3+$D$4)/2)-$D$5),3),FAKT_C109,3,-1)),0)</f>
        <v>525</v>
      </c>
      <c r="F22" s="135">
        <f>ROUND('BASE-FAN90-EC40-5'!C$3*($B22-300-($O22*800))*(VLOOKUP(ROUND(((($D$3+$D$4)/2)-$D$5),2),FAKT_C109,2,-1))+'BASE-FAN90-EC40-5'!C$2*$O22*(VLOOKUP(ROUND(((($D$3+$D$4)/2)-$D$5),3),FAKT_C109,3,-1)),0)</f>
        <v>711</v>
      </c>
      <c r="G22" s="136">
        <f>ROUND('BASE-FAN90-EC40-5'!D$3*($B22-300-($O22*800))*(VLOOKUP(ROUND(((($D$3+$D$4)/2)-$D$5),2),FAKT_C109,2,-1))+'BASE-FAN90-EC40-5'!D$2*$O22*(VLOOKUP(ROUND(((($D$3+$D$4)/2)-$D$5),3),FAKT_C109,3,-1)),0)</f>
        <v>903</v>
      </c>
      <c r="H22" s="134">
        <f>ROUND('BASE-FAN90-EC40-5'!E$3*($B22-300-($O22*800))*(VLOOKUP(ROUND(((($D$3+$D$4)/2)-$D$5),2),FAKT_C109,2,-1))+'BASE-FAN90-EC40-5'!E$2*$O22*(VLOOKUP(ROUND(((($D$3+$D$4)/2)-$D$5),3),FAKT_C109,3,-1)),0)</f>
        <v>835</v>
      </c>
      <c r="I22" s="135">
        <f>ROUND('BASE-FAN90-EC40-5'!F$3*($B22-300-($O22*800))*(VLOOKUP(ROUND(((($D$3+$D$4)/2)-$D$5),2),FAKT_C109,2,-1))+'BASE-FAN90-EC40-5'!F$2*$O22*(VLOOKUP(ROUND(((($D$3+$D$4)/2)-$D$5),3),FAKT_C109,3,-1)),0)</f>
        <v>1188</v>
      </c>
      <c r="J22" s="136">
        <f>ROUND('BASE-FAN90-EC40-5'!G$3*($B22-300-($O22*800))*(VLOOKUP(ROUND(((($D$3+$D$4)/2)-$D$5),2),FAKT_C109,2,-1))+'BASE-FAN90-EC40-5'!G$2*$O22*(VLOOKUP(ROUND(((($D$3+$D$4)/2)-$D$5),3),FAKT_C109,3,-1)),0)</f>
        <v>1531</v>
      </c>
      <c r="K22" s="134">
        <f>ROUND('BASE-FAN90-EC40-5'!H$3*($B22-300-($O22*800))*(VLOOKUP(ROUND(((($D$3+$D$4)/2)-$D$5),2),FAKT_C109,2,-1))+'BASE-FAN90-EC40-5'!H$2*$O22*(VLOOKUP(ROUND(((($D$3+$D$4)/2)-$D$5),3),FAKT_C109,3,-1)),0)</f>
        <v>1005</v>
      </c>
      <c r="L22" s="135">
        <f>ROUND('BASE-FAN90-EC40-5'!I$3*($B22-300-($O22*800))*(VLOOKUP(ROUND(((($D$3+$D$4)/2)-$D$5),2),FAKT_C109,2,-1))+'BASE-FAN90-EC40-5'!I$2*$O22*(VLOOKUP(ROUND(((($D$3+$D$4)/2)-$D$5),3),FAKT_C109,3,-1)),0)</f>
        <v>1394</v>
      </c>
      <c r="M22" s="136">
        <f>ROUND('BASE-FAN90-EC40-5'!J$3*($B22-300-($O22*800))*(VLOOKUP(ROUND(((($D$3+$D$4)/2)-$D$5),2),FAKT_C109,2,-1))+'BASE-FAN90-EC40-5'!J$2*$O22*(VLOOKUP(ROUND(((($D$3+$D$4)/2)-$D$5),3),FAKT_C109,3,-1)),0)</f>
        <v>1817</v>
      </c>
      <c r="O22" s="445">
        <v>1.5</v>
      </c>
    </row>
    <row r="23" spans="2:15" x14ac:dyDescent="0.2">
      <c r="B23" s="455"/>
      <c r="C23" s="456"/>
      <c r="D23" s="445"/>
      <c r="E23" s="137">
        <f t="shared" ref="E23:M23" si="2">ROUNDDOWN(E22/(1.161*($D$3-$D$4)),0)</f>
        <v>45</v>
      </c>
      <c r="F23" s="138">
        <f t="shared" si="2"/>
        <v>61</v>
      </c>
      <c r="G23" s="139">
        <f t="shared" si="2"/>
        <v>77</v>
      </c>
      <c r="H23" s="137">
        <f t="shared" si="2"/>
        <v>71</v>
      </c>
      <c r="I23" s="138">
        <f t="shared" si="2"/>
        <v>102</v>
      </c>
      <c r="J23" s="139">
        <f t="shared" si="2"/>
        <v>131</v>
      </c>
      <c r="K23" s="137">
        <f t="shared" si="2"/>
        <v>86</v>
      </c>
      <c r="L23" s="138">
        <f t="shared" si="2"/>
        <v>120</v>
      </c>
      <c r="M23" s="139">
        <f t="shared" si="2"/>
        <v>156</v>
      </c>
      <c r="O23" s="445"/>
    </row>
    <row r="24" spans="2:15" x14ac:dyDescent="0.2">
      <c r="B24" s="437">
        <v>2100</v>
      </c>
      <c r="C24" s="438"/>
      <c r="D24" s="439" t="s">
        <v>974</v>
      </c>
      <c r="E24" s="243">
        <f>ROUND('BASE-FAN90-EC40-5'!B$3*($B24-300-($O24*800))*(VLOOKUP(ROUND(((($D$3+$D$4)/2)-$D$5),2),FAKT_C109,2,-1))+'BASE-FAN90-EC40-5'!B$2*$O24*(VLOOKUP(ROUND(((($D$3+$D$4)/2)-$D$5),3),FAKT_C109,3,-1)),0)</f>
        <v>682</v>
      </c>
      <c r="F24" s="244">
        <f>ROUND('BASE-FAN90-EC40-5'!C$3*($B24-300-($O24*800))*(VLOOKUP(ROUND(((($D$3+$D$4)/2)-$D$5),2),FAKT_C109,2,-1))+'BASE-FAN90-EC40-5'!C$2*$O24*(VLOOKUP(ROUND(((($D$3+$D$4)/2)-$D$5),3),FAKT_C109,3,-1)),0)</f>
        <v>930</v>
      </c>
      <c r="G24" s="245">
        <f>ROUND('BASE-FAN90-EC40-5'!D$3*($B24-300-($O24*800))*(VLOOKUP(ROUND(((($D$3+$D$4)/2)-$D$5),2),FAKT_C109,2,-1))+'BASE-FAN90-EC40-5'!D$2*$O24*(VLOOKUP(ROUND(((($D$3+$D$4)/2)-$D$5),3),FAKT_C109,3,-1)),0)</f>
        <v>1186</v>
      </c>
      <c r="H24" s="243">
        <f>ROUND('BASE-FAN90-EC40-5'!E$3*($B24-300-($O24*800))*(VLOOKUP(ROUND(((($D$3+$D$4)/2)-$D$5),2),FAKT_C109,2,-1))+'BASE-FAN90-EC40-5'!E$2*$O24*(VLOOKUP(ROUND(((($D$3+$D$4)/2)-$D$5),3),FAKT_C109,3,-1)),0)</f>
        <v>1087</v>
      </c>
      <c r="I24" s="244">
        <f>ROUND('BASE-FAN90-EC40-5'!F$3*($B24-300-($O24*800))*(VLOOKUP(ROUND(((($D$3+$D$4)/2)-$D$5),2),FAKT_C109,2,-1))+'BASE-FAN90-EC40-5'!F$2*$O24*(VLOOKUP(ROUND(((($D$3+$D$4)/2)-$D$5),3),FAKT_C109,3,-1)),0)</f>
        <v>1557</v>
      </c>
      <c r="J24" s="245">
        <f>ROUND('BASE-FAN90-EC40-5'!G$3*($B24-300-($O24*800))*(VLOOKUP(ROUND(((($D$3+$D$4)/2)-$D$5),2),FAKT_C109,2,-1))+'BASE-FAN90-EC40-5'!G$2*$O24*(VLOOKUP(ROUND(((($D$3+$D$4)/2)-$D$5),3),FAKT_C109,3,-1)),0)</f>
        <v>2015</v>
      </c>
      <c r="K24" s="243">
        <f>ROUND('BASE-FAN90-EC40-5'!H$3*($B24-300-($O24*800))*(VLOOKUP(ROUND(((($D$3+$D$4)/2)-$D$5),2),FAKT_C109,2,-1))+'BASE-FAN90-EC40-5'!H$2*$O24*(VLOOKUP(ROUND(((($D$3+$D$4)/2)-$D$5),3),FAKT_C109,3,-1)),0)</f>
        <v>1301</v>
      </c>
      <c r="L24" s="244">
        <f>ROUND('BASE-FAN90-EC40-5'!I$3*($B24-300-($O24*800))*(VLOOKUP(ROUND(((($D$3+$D$4)/2)-$D$5),2),FAKT_C109,2,-1))+'BASE-FAN90-EC40-5'!I$2*$O24*(VLOOKUP(ROUND(((($D$3+$D$4)/2)-$D$5),3),FAKT_C109,3,-1)),0)</f>
        <v>1819</v>
      </c>
      <c r="M24" s="245">
        <f>ROUND('BASE-FAN90-EC40-5'!J$3*($B24-300-($O24*800))*(VLOOKUP(ROUND(((($D$3+$D$4)/2)-$D$5),2),FAKT_C109,2,-1))+'BASE-FAN90-EC40-5'!J$2*$O24*(VLOOKUP(ROUND(((($D$3+$D$4)/2)-$D$5),3),FAKT_C109,3,-1)),0)</f>
        <v>2383</v>
      </c>
      <c r="O24" s="454">
        <v>2</v>
      </c>
    </row>
    <row r="25" spans="2:15" x14ac:dyDescent="0.2">
      <c r="B25" s="437"/>
      <c r="C25" s="438"/>
      <c r="D25" s="440"/>
      <c r="E25" s="246">
        <f t="shared" ref="E25:M25" si="3">ROUNDDOWN(E24/(1.161*($D$3-$D$4)),0)</f>
        <v>58</v>
      </c>
      <c r="F25" s="247">
        <f t="shared" si="3"/>
        <v>80</v>
      </c>
      <c r="G25" s="248">
        <f t="shared" si="3"/>
        <v>102</v>
      </c>
      <c r="H25" s="246">
        <f t="shared" si="3"/>
        <v>93</v>
      </c>
      <c r="I25" s="247">
        <f t="shared" si="3"/>
        <v>134</v>
      </c>
      <c r="J25" s="248">
        <f t="shared" si="3"/>
        <v>173</v>
      </c>
      <c r="K25" s="246">
        <f t="shared" si="3"/>
        <v>112</v>
      </c>
      <c r="L25" s="247">
        <f t="shared" si="3"/>
        <v>156</v>
      </c>
      <c r="M25" s="248">
        <f t="shared" si="3"/>
        <v>205</v>
      </c>
      <c r="O25" s="454"/>
    </row>
    <row r="26" spans="2:15" x14ac:dyDescent="0.2">
      <c r="B26" s="455">
        <v>2550</v>
      </c>
      <c r="C26" s="456"/>
      <c r="D26" s="444" t="s">
        <v>975</v>
      </c>
      <c r="E26" s="134">
        <f>ROUND('BASE-FAN90-EC40-5'!B$3*($B26-300-($O26*800))*(VLOOKUP(ROUND(((($D$3+$D$4)/2)-$D$5),2),FAKT_C109,2,-1))+'BASE-FAN90-EC40-5'!B$2*$O26*(VLOOKUP(ROUND(((($D$3+$D$4)/2)-$D$5),3),FAKT_C109,3,-1)),0)</f>
        <v>852</v>
      </c>
      <c r="F26" s="135">
        <f>ROUND('BASE-FAN90-EC40-5'!C$3*($B26-300-($O26*800))*(VLOOKUP(ROUND(((($D$3+$D$4)/2)-$D$5),2),FAKT_C109,2,-1))+'BASE-FAN90-EC40-5'!C$2*$O26*(VLOOKUP(ROUND(((($D$3+$D$4)/2)-$D$5),3),FAKT_C109,3,-1)),0)</f>
        <v>1162</v>
      </c>
      <c r="G26" s="136">
        <f>ROUND('BASE-FAN90-EC40-5'!D$3*($B26-300-($O26*800))*(VLOOKUP(ROUND(((($D$3+$D$4)/2)-$D$5),2),FAKT_C109,2,-1))+'BASE-FAN90-EC40-5'!D$2*$O26*(VLOOKUP(ROUND(((($D$3+$D$4)/2)-$D$5),3),FAKT_C109,3,-1)),0)</f>
        <v>1482</v>
      </c>
      <c r="H26" s="134">
        <f>ROUND('BASE-FAN90-EC40-5'!E$3*($B26-300-($O26*800))*(VLOOKUP(ROUND(((($D$3+$D$4)/2)-$D$5),2),FAKT_C109,2,-1))+'BASE-FAN90-EC40-5'!E$2*$O26*(VLOOKUP(ROUND(((($D$3+$D$4)/2)-$D$5),3),FAKT_C109,3,-1)),0)</f>
        <v>1359</v>
      </c>
      <c r="I26" s="135">
        <f>ROUND('BASE-FAN90-EC40-5'!F$3*($B26-300-($O26*800))*(VLOOKUP(ROUND(((($D$3+$D$4)/2)-$D$5),2),FAKT_C109,2,-1))+'BASE-FAN90-EC40-5'!F$2*$O26*(VLOOKUP(ROUND(((($D$3+$D$4)/2)-$D$5),3),FAKT_C109,3,-1)),0)</f>
        <v>1947</v>
      </c>
      <c r="J26" s="136">
        <f>ROUND('BASE-FAN90-EC40-5'!G$3*($B26-300-($O26*800))*(VLOOKUP(ROUND(((($D$3+$D$4)/2)-$D$5),2),FAKT_C109,2,-1))+'BASE-FAN90-EC40-5'!G$2*$O26*(VLOOKUP(ROUND(((($D$3+$D$4)/2)-$D$5),3),FAKT_C109,3,-1)),0)</f>
        <v>2519</v>
      </c>
      <c r="K26" s="134">
        <f>ROUND('BASE-FAN90-EC40-5'!H$3*($B26-300-($O26*800))*(VLOOKUP(ROUND(((($D$3+$D$4)/2)-$D$5),2),FAKT_C109,2,-1))+'BASE-FAN90-EC40-5'!H$2*$O26*(VLOOKUP(ROUND(((($D$3+$D$4)/2)-$D$5),3),FAKT_C109,3,-1)),0)</f>
        <v>1626</v>
      </c>
      <c r="L26" s="135">
        <f>ROUND('BASE-FAN90-EC40-5'!I$3*($B26-300-($O26*800))*(VLOOKUP(ROUND(((($D$3+$D$4)/2)-$D$5),2),FAKT_C109,2,-1))+'BASE-FAN90-EC40-5'!I$2*$O26*(VLOOKUP(ROUND(((($D$3+$D$4)/2)-$D$5),3),FAKT_C109,3,-1)),0)</f>
        <v>2274</v>
      </c>
      <c r="M26" s="136">
        <f>ROUND('BASE-FAN90-EC40-5'!J$3*($B26-300-($O26*800))*(VLOOKUP(ROUND(((($D$3+$D$4)/2)-$D$5),2),FAKT_C109,2,-1))+'BASE-FAN90-EC40-5'!J$2*$O26*(VLOOKUP(ROUND(((($D$3+$D$4)/2)-$D$5),3),FAKT_C109,3,-1)),0)</f>
        <v>2979</v>
      </c>
      <c r="O26" s="445">
        <v>2.5</v>
      </c>
    </row>
    <row r="27" spans="2:15" x14ac:dyDescent="0.2">
      <c r="B27" s="455"/>
      <c r="C27" s="456"/>
      <c r="D27" s="445"/>
      <c r="E27" s="137">
        <f t="shared" ref="E27:M27" si="4">ROUNDDOWN(E26/(1.161*($D$3-$D$4)),0)</f>
        <v>73</v>
      </c>
      <c r="F27" s="138">
        <f t="shared" si="4"/>
        <v>100</v>
      </c>
      <c r="G27" s="139">
        <f t="shared" si="4"/>
        <v>127</v>
      </c>
      <c r="H27" s="137">
        <f t="shared" si="4"/>
        <v>117</v>
      </c>
      <c r="I27" s="138">
        <f t="shared" si="4"/>
        <v>167</v>
      </c>
      <c r="J27" s="139">
        <f t="shared" si="4"/>
        <v>216</v>
      </c>
      <c r="K27" s="137">
        <f t="shared" si="4"/>
        <v>140</v>
      </c>
      <c r="L27" s="138">
        <f t="shared" si="4"/>
        <v>195</v>
      </c>
      <c r="M27" s="139">
        <f t="shared" si="4"/>
        <v>256</v>
      </c>
      <c r="O27" s="445"/>
    </row>
    <row r="28" spans="2:15" x14ac:dyDescent="0.2">
      <c r="B28" s="437">
        <v>2900</v>
      </c>
      <c r="C28" s="438"/>
      <c r="D28" s="439" t="s">
        <v>976</v>
      </c>
      <c r="E28" s="243">
        <f>ROUND('BASE-FAN90-EC40-5'!B$3*($B28-300-($O28*800))*(VLOOKUP(ROUND(((($D$3+$D$4)/2)-$D$5),2),FAKT_C109,2,-1))+'BASE-FAN90-EC40-5'!B$2*$O28*(VLOOKUP(ROUND(((($D$3+$D$4)/2)-$D$5),3),FAKT_C109,3,-1)),0)</f>
        <v>1009</v>
      </c>
      <c r="F28" s="244">
        <f>ROUND('BASE-FAN90-EC40-5'!C$3*($B28-300-($O28*800))*(VLOOKUP(ROUND(((($D$3+$D$4)/2)-$D$5),2),FAKT_C109,2,-1))+'BASE-FAN90-EC40-5'!C$2*$O28*(VLOOKUP(ROUND(((($D$3+$D$4)/2)-$D$5),3),FAKT_C109,3,-1)),0)</f>
        <v>1381</v>
      </c>
      <c r="G28" s="245">
        <f>ROUND('BASE-FAN90-EC40-5'!D$3*($B28-300-($O28*800))*(VLOOKUP(ROUND(((($D$3+$D$4)/2)-$D$5),2),FAKT_C109,2,-1))+'BASE-FAN90-EC40-5'!D$2*$O28*(VLOOKUP(ROUND(((($D$3+$D$4)/2)-$D$5),3),FAKT_C109,3,-1)),0)</f>
        <v>1765</v>
      </c>
      <c r="H28" s="243">
        <f>ROUND('BASE-FAN90-EC40-5'!E$3*($B28-300-($O28*800))*(VLOOKUP(ROUND(((($D$3+$D$4)/2)-$D$5),2),FAKT_C109,2,-1))+'BASE-FAN90-EC40-5'!E$2*$O28*(VLOOKUP(ROUND(((($D$3+$D$4)/2)-$D$5),3),FAKT_C109,3,-1)),0)</f>
        <v>1611</v>
      </c>
      <c r="I28" s="244">
        <f>ROUND('BASE-FAN90-EC40-5'!F$3*($B28-300-($O28*800))*(VLOOKUP(ROUND(((($D$3+$D$4)/2)-$D$5),2),FAKT_C109,2,-1))+'BASE-FAN90-EC40-5'!F$2*$O28*(VLOOKUP(ROUND(((($D$3+$D$4)/2)-$D$5),3),FAKT_C109,3,-1)),0)</f>
        <v>2316</v>
      </c>
      <c r="J28" s="245">
        <f>ROUND('BASE-FAN90-EC40-5'!G$3*($B28-300-($O28*800))*(VLOOKUP(ROUND(((($D$3+$D$4)/2)-$D$5),2),FAKT_C109,2,-1))+'BASE-FAN90-EC40-5'!G$2*$O28*(VLOOKUP(ROUND(((($D$3+$D$4)/2)-$D$5),3),FAKT_C109,3,-1)),0)</f>
        <v>3003</v>
      </c>
      <c r="K28" s="243">
        <f>ROUND('BASE-FAN90-EC40-5'!H$3*($B28-300-($O28*800))*(VLOOKUP(ROUND(((($D$3+$D$4)/2)-$D$5),2),FAKT_C109,2,-1))+'BASE-FAN90-EC40-5'!H$2*$O28*(VLOOKUP(ROUND(((($D$3+$D$4)/2)-$D$5),3),FAKT_C109,3,-1)),0)</f>
        <v>1922</v>
      </c>
      <c r="L28" s="244">
        <f>ROUND('BASE-FAN90-EC40-5'!I$3*($B28-300-($O28*800))*(VLOOKUP(ROUND(((($D$3+$D$4)/2)-$D$5),2),FAKT_C109,2,-1))+'BASE-FAN90-EC40-5'!I$2*$O28*(VLOOKUP(ROUND(((($D$3+$D$4)/2)-$D$5),3),FAKT_C109,3,-1)),0)</f>
        <v>2699</v>
      </c>
      <c r="M28" s="245">
        <f>ROUND('BASE-FAN90-EC40-5'!J$3*($B28-300-($O28*800))*(VLOOKUP(ROUND(((($D$3+$D$4)/2)-$D$5),2),FAKT_C109,2,-1))+'BASE-FAN90-EC40-5'!J$2*$O28*(VLOOKUP(ROUND(((($D$3+$D$4)/2)-$D$5),3),FAKT_C109,3,-1)),0)</f>
        <v>3545</v>
      </c>
      <c r="O28" s="454">
        <v>3</v>
      </c>
    </row>
    <row r="29" spans="2:15" x14ac:dyDescent="0.2">
      <c r="B29" s="437"/>
      <c r="C29" s="438"/>
      <c r="D29" s="440"/>
      <c r="E29" s="246">
        <f t="shared" ref="E29:M29" si="5">ROUNDDOWN(E28/(1.161*($D$3-$D$4)),0)</f>
        <v>86</v>
      </c>
      <c r="F29" s="247">
        <f t="shared" si="5"/>
        <v>118</v>
      </c>
      <c r="G29" s="248">
        <f t="shared" si="5"/>
        <v>152</v>
      </c>
      <c r="H29" s="246">
        <f t="shared" si="5"/>
        <v>138</v>
      </c>
      <c r="I29" s="247">
        <f t="shared" si="5"/>
        <v>199</v>
      </c>
      <c r="J29" s="248">
        <f t="shared" si="5"/>
        <v>258</v>
      </c>
      <c r="K29" s="246">
        <f t="shared" si="5"/>
        <v>165</v>
      </c>
      <c r="L29" s="247">
        <f t="shared" si="5"/>
        <v>232</v>
      </c>
      <c r="M29" s="248">
        <f t="shared" si="5"/>
        <v>305</v>
      </c>
      <c r="O29" s="454"/>
    </row>
    <row r="30" spans="2:15" ht="14.45" customHeight="1" x14ac:dyDescent="0.2"/>
    <row r="31" spans="2:15" x14ac:dyDescent="0.2">
      <c r="B31" s="141" t="str">
        <f>VLOOKUP(36,TXT,$F$3,0)</f>
        <v>Angabe in Watt  pro Bodenkonvektor-Länge L [mm]</v>
      </c>
      <c r="M31" s="121" t="str">
        <f>VLOOKUP(16,TXT,$F$3,0)</f>
        <v>Wärmeleistungen in Anlehnung an EN 442-2</v>
      </c>
    </row>
    <row r="32" spans="2:15" x14ac:dyDescent="0.2">
      <c r="B32" s="141" t="str">
        <f>VLOOKUP(59,TXT,$F$3,0)</f>
        <v>Bei Sonderkonstruktionen dient die Leistungstabelle als Richtwert</v>
      </c>
    </row>
    <row r="33" spans="2:7" x14ac:dyDescent="0.2">
      <c r="B33" s="141" t="str">
        <f>VLOOKUP(90,TXT,$F$3,0)</f>
        <v>Leistungsdaten mit Abdeckung, Rollrost Typ 941-17-B (f.Q. 70%)</v>
      </c>
    </row>
    <row r="34" spans="2:7" x14ac:dyDescent="0.2">
      <c r="B34" s="120" t="str">
        <f>CONCATENATE("(*) ",VLOOKUP(29,TXT,$F$3,0))</f>
        <v>(*) Minimale Wassermassenströme von ca. 20 kg/h sollen eingehalten werden</v>
      </c>
      <c r="G34" s="120"/>
    </row>
    <row r="35" spans="2:7" x14ac:dyDescent="0.2">
      <c r="B35" s="141" t="str">
        <f>CONCATENATE("(*) ",VLOOKUP(95,TXT,$F$3,0))</f>
        <v>(*) Massenstrom rechnerisch ermittelt, allfäliger Projektabgleich machen</v>
      </c>
      <c r="G35" s="120"/>
    </row>
    <row r="36" spans="2:7" x14ac:dyDescent="0.2">
      <c r="G36" s="120"/>
    </row>
    <row r="37" spans="2:7" x14ac:dyDescent="0.2"/>
    <row r="38" spans="2:7" x14ac:dyDescent="0.2">
      <c r="B38" s="249" t="s">
        <v>1357</v>
      </c>
      <c r="C38" s="250"/>
      <c r="D38" s="251" t="str">
        <f>VLOOKUP(31,TXT,$F$3,0)</f>
        <v>Gesamtlänge Bodenkonvektor</v>
      </c>
      <c r="E38" s="250"/>
      <c r="F38" s="250"/>
      <c r="G38" s="250"/>
    </row>
    <row r="39" spans="2:7" x14ac:dyDescent="0.2">
      <c r="B39" s="249" t="s">
        <v>1358</v>
      </c>
      <c r="C39" s="250"/>
      <c r="D39" s="251" t="str">
        <f>VLOOKUP(32,TXT,$F$3,0)</f>
        <v>Breite Bodenkonvektor</v>
      </c>
      <c r="E39" s="250"/>
      <c r="F39" s="250"/>
      <c r="G39" s="250"/>
    </row>
    <row r="40" spans="2:7" x14ac:dyDescent="0.2">
      <c r="B40" s="249" t="s">
        <v>1359</v>
      </c>
      <c r="C40" s="250"/>
      <c r="D40" s="251" t="str">
        <f>VLOOKUP(33,TXT,$F$3,0)</f>
        <v>Höhe Bodenkonvektor</v>
      </c>
      <c r="E40" s="250"/>
      <c r="F40" s="250"/>
      <c r="G40" s="250"/>
    </row>
    <row r="41" spans="2:7" x14ac:dyDescent="0.2">
      <c r="B41" s="249" t="s">
        <v>1360</v>
      </c>
      <c r="C41" s="250"/>
      <c r="D41" s="251" t="str">
        <f>VLOOKUP(60,TXT,$F$3,0)</f>
        <v>Querstromventilator Walzen</v>
      </c>
      <c r="E41" s="250"/>
      <c r="F41" s="250"/>
      <c r="G41" s="250"/>
    </row>
    <row r="42" spans="2:7" x14ac:dyDescent="0.2">
      <c r="B42" s="249" t="s">
        <v>1361</v>
      </c>
      <c r="C42" s="250"/>
      <c r="D42" s="251" t="str">
        <f>VLOOKUP(34,TXT,$F$3,0)</f>
        <v>Motor</v>
      </c>
      <c r="E42" s="250"/>
      <c r="F42" s="250"/>
      <c r="G42" s="250"/>
    </row>
    <row r="43" spans="2:7" x14ac:dyDescent="0.2"/>
    <row r="44" spans="2:7" x14ac:dyDescent="0.2"/>
    <row r="45" spans="2:7" x14ac:dyDescent="0.2">
      <c r="B45" s="141" t="str">
        <f>VLOOKUP(39,TXT,$F$3,0)</f>
        <v>Die Zwischenlängen werden durch Leerstücke angepasst.</v>
      </c>
    </row>
    <row r="46" spans="2:7" x14ac:dyDescent="0.2">
      <c r="B46" s="141"/>
    </row>
    <row r="47" spans="2:7" x14ac:dyDescent="0.2"/>
    <row r="48" spans="2:7" x14ac:dyDescent="0.2"/>
    <row r="49" spans="13:13" x14ac:dyDescent="0.2"/>
    <row r="50" spans="13:13" x14ac:dyDescent="0.2"/>
    <row r="51" spans="13:13" x14ac:dyDescent="0.2"/>
    <row r="52" spans="13:13" x14ac:dyDescent="0.2"/>
    <row r="53" spans="13:13" x14ac:dyDescent="0.2"/>
    <row r="54" spans="13:13" x14ac:dyDescent="0.2">
      <c r="M54" s="142" t="str">
        <f>VLOOKUP(40,TXT,$F$3,0)</f>
        <v>Erweiterung des Bodenkanals um ein Regulierungsmodul zu integrieren</v>
      </c>
    </row>
    <row r="55" spans="13:13" x14ac:dyDescent="0.2"/>
    <row r="56" spans="13:13" x14ac:dyDescent="0.2">
      <c r="M56" s="143" t="s">
        <v>1362</v>
      </c>
    </row>
    <row r="57" spans="13:13" x14ac:dyDescent="0.2"/>
  </sheetData>
  <sheetProtection algorithmName="SHA-512" hashValue="pOsejXYpIKxVYWiMLGL9rp99Co88xVWvws+QnAANFdHJRItdV2l2pc6L5Lsqva4O+QKt573Voi6osxRBRDIsxw==" saltValue="/PIKX/NDWJosDQdLYohMxA==" spinCount="100000" sheet="1" objects="1" scenarios="1" selectLockedCells="1"/>
  <protectedRanges>
    <protectedRange sqref="G3:G5 F4:F5" name="Bereich1_1"/>
  </protectedRanges>
  <mergeCells count="50">
    <mergeCell ref="K14:M14"/>
    <mergeCell ref="O22:O23"/>
    <mergeCell ref="O18:O19"/>
    <mergeCell ref="K10:M10"/>
    <mergeCell ref="B7:M7"/>
    <mergeCell ref="B8:M8"/>
    <mergeCell ref="I17:M17"/>
    <mergeCell ref="B18:C19"/>
    <mergeCell ref="D18:D19"/>
    <mergeCell ref="B12:D12"/>
    <mergeCell ref="E12:G12"/>
    <mergeCell ref="H12:J12"/>
    <mergeCell ref="K12:M12"/>
    <mergeCell ref="B13:D13"/>
    <mergeCell ref="E13:G13"/>
    <mergeCell ref="H13:J13"/>
    <mergeCell ref="K13:M13"/>
    <mergeCell ref="B3:C3"/>
    <mergeCell ref="B4:C4"/>
    <mergeCell ref="B5:C5"/>
    <mergeCell ref="O28:O29"/>
    <mergeCell ref="B24:C25"/>
    <mergeCell ref="D24:D25"/>
    <mergeCell ref="O24:O25"/>
    <mergeCell ref="B26:C27"/>
    <mergeCell ref="D26:D27"/>
    <mergeCell ref="O26:O27"/>
    <mergeCell ref="E15:G15"/>
    <mergeCell ref="H15:J15"/>
    <mergeCell ref="K15:M15"/>
    <mergeCell ref="O20:O21"/>
    <mergeCell ref="B22:C23"/>
    <mergeCell ref="E14:G14"/>
    <mergeCell ref="B17:C17"/>
    <mergeCell ref="E17:H17"/>
    <mergeCell ref="B10:D10"/>
    <mergeCell ref="E10:G10"/>
    <mergeCell ref="H14:J14"/>
    <mergeCell ref="B28:C29"/>
    <mergeCell ref="D28:D29"/>
    <mergeCell ref="B20:C21"/>
    <mergeCell ref="D20:D21"/>
    <mergeCell ref="B14:D14"/>
    <mergeCell ref="D22:D23"/>
    <mergeCell ref="D3:E3"/>
    <mergeCell ref="D4:E4"/>
    <mergeCell ref="D5:E5"/>
    <mergeCell ref="F3:G5"/>
    <mergeCell ref="D2:E2"/>
    <mergeCell ref="F2:G2"/>
  </mergeCells>
  <conditionalFormatting sqref="D3:D5">
    <cfRule type="expression" dxfId="221" priority="2">
      <formula>$I$4&lt;&gt;""</formula>
    </cfRule>
  </conditionalFormatting>
  <conditionalFormatting sqref="E18:M18">
    <cfRule type="expression" dxfId="220" priority="96" stopIfTrue="1">
      <formula>E19&lt;20</formula>
    </cfRule>
  </conditionalFormatting>
  <conditionalFormatting sqref="E20:M20">
    <cfRule type="expression" dxfId="219" priority="93" stopIfTrue="1">
      <formula>E21&lt;20</formula>
    </cfRule>
  </conditionalFormatting>
  <conditionalFormatting sqref="E22:M22">
    <cfRule type="expression" dxfId="218" priority="30" stopIfTrue="1">
      <formula>E23&lt;20</formula>
    </cfRule>
  </conditionalFormatting>
  <conditionalFormatting sqref="E24:M24">
    <cfRule type="expression" dxfId="217" priority="21" stopIfTrue="1">
      <formula>E25&lt;20</formula>
    </cfRule>
  </conditionalFormatting>
  <conditionalFormatting sqref="E26:M26">
    <cfRule type="expression" dxfId="216" priority="3" stopIfTrue="1">
      <formula>E27&lt;20</formula>
    </cfRule>
  </conditionalFormatting>
  <conditionalFormatting sqref="E28:M28">
    <cfRule type="expression" dxfId="215" priority="12" stopIfTrue="1">
      <formula>E29&lt;20</formula>
    </cfRule>
  </conditionalFormatting>
  <dataValidations count="5">
    <dataValidation allowBlank="1" showDropDown="1" showInputMessage="1" showErrorMessage="1" sqref="O18 O20 O22 O24 O26 O28 D18 D20 D22 D24 D26 D28" xr:uid="{58140369-AED8-450F-804D-ADF08B956179}"/>
    <dataValidation type="whole" allowBlank="1" showInputMessage="1" showErrorMessage="1" sqref="D5" xr:uid="{81234746-5719-45DA-A63B-C692240DDD80}">
      <formula1>15</formula1>
      <formula2>29</formula2>
    </dataValidation>
    <dataValidation type="whole" allowBlank="1" showInputMessage="1" showErrorMessage="1" sqref="D4" xr:uid="{829C2CE6-0E07-4015-84B7-F2AD720C43C8}">
      <formula1>25</formula1>
      <formula2>85</formula2>
    </dataValidation>
    <dataValidation type="whole" allowBlank="1" showInputMessage="1" showErrorMessage="1" sqref="D3" xr:uid="{0559608D-D2D5-418C-BAD0-BDE62A2A2E5F}">
      <formula1>30</formula1>
      <formula2>90</formula2>
    </dataValidation>
    <dataValidation type="whole" allowBlank="1" showInputMessage="1" showErrorMessage="1" sqref="F3" xr:uid="{45F9B6F1-7428-48DF-9106-B6F290B8B20A}">
      <formula1>2</formula1>
      <formula2>3</formula2>
    </dataValidation>
  </dataValidations>
  <pageMargins left="0.59055118110236227" right="0.39370078740157483" top="1.1811023622047245" bottom="0.78740157480314965" header="0.31496062992125984" footer="0.51181102362204722"/>
  <pageSetup paperSize="9" orientation="portrait" r:id="rId1"/>
  <headerFooter alignWithMargins="0">
    <oddHeader>&amp;C&amp;G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2" id="{628E1D4D-4710-499E-92F4-C5C5CB0DFED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E19</xm:sqref>
        </x14:conditionalFormatting>
        <x14:conditionalFormatting xmlns:xm="http://schemas.microsoft.com/office/excel/2006/main">
          <x14:cfRule type="iconSet" priority="83" id="{61BCC43E-55FF-4B7D-B7B3-CFACC34FF8C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E21</xm:sqref>
        </x14:conditionalFormatting>
        <x14:conditionalFormatting xmlns:xm="http://schemas.microsoft.com/office/excel/2006/main">
          <x14:cfRule type="iconSet" priority="74" id="{CADB8357-BAA4-459A-9DBD-8B1AF72969E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E23</xm:sqref>
        </x14:conditionalFormatting>
        <x14:conditionalFormatting xmlns:xm="http://schemas.microsoft.com/office/excel/2006/main">
          <x14:cfRule type="iconSet" priority="56" id="{AB9054F1-1B98-4CE5-983B-24DC09F0F70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E25</xm:sqref>
        </x14:conditionalFormatting>
        <x14:conditionalFormatting xmlns:xm="http://schemas.microsoft.com/office/excel/2006/main">
          <x14:cfRule type="iconSet" priority="65" id="{6398D463-4CC6-4F82-A916-7020DF2BE9B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E27</xm:sqref>
        </x14:conditionalFormatting>
        <x14:conditionalFormatting xmlns:xm="http://schemas.microsoft.com/office/excel/2006/main">
          <x14:cfRule type="iconSet" priority="47" id="{C200E859-09A1-42B6-B4D1-06BC58F8ECD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E29</xm:sqref>
        </x14:conditionalFormatting>
        <x14:conditionalFormatting xmlns:xm="http://schemas.microsoft.com/office/excel/2006/main">
          <x14:cfRule type="iconSet" priority="91" id="{B5DE4BE6-5B69-46AC-A271-FA1822DA9C6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F19</xm:sqref>
        </x14:conditionalFormatting>
        <x14:conditionalFormatting xmlns:xm="http://schemas.microsoft.com/office/excel/2006/main">
          <x14:cfRule type="iconSet" priority="82" id="{CD7CE175-2154-42E9-8FF6-D711260A17F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F21</xm:sqref>
        </x14:conditionalFormatting>
        <x14:conditionalFormatting xmlns:xm="http://schemas.microsoft.com/office/excel/2006/main">
          <x14:cfRule type="iconSet" priority="73" id="{32B65016-6E89-4DE0-BF32-2DD14266904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F23</xm:sqref>
        </x14:conditionalFormatting>
        <x14:conditionalFormatting xmlns:xm="http://schemas.microsoft.com/office/excel/2006/main">
          <x14:cfRule type="iconSet" priority="55" id="{D37166F8-780A-4A11-8A2F-001A74F3F8B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F25</xm:sqref>
        </x14:conditionalFormatting>
        <x14:conditionalFormatting xmlns:xm="http://schemas.microsoft.com/office/excel/2006/main">
          <x14:cfRule type="iconSet" priority="64" id="{9613BAC3-198D-4A7F-87A2-FC9DFF81E61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F27</xm:sqref>
        </x14:conditionalFormatting>
        <x14:conditionalFormatting xmlns:xm="http://schemas.microsoft.com/office/excel/2006/main">
          <x14:cfRule type="iconSet" priority="46" id="{D52964C9-0BC0-4850-8775-42CDE4016FA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F29</xm:sqref>
        </x14:conditionalFormatting>
        <x14:conditionalFormatting xmlns:xm="http://schemas.microsoft.com/office/excel/2006/main">
          <x14:cfRule type="iconSet" priority="90" id="{4FCCD1C2-4C5D-48A4-9344-40B7404ACF2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81" id="{3B23211F-88E5-4323-A434-F452E27D9CF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G21</xm:sqref>
        </x14:conditionalFormatting>
        <x14:conditionalFormatting xmlns:xm="http://schemas.microsoft.com/office/excel/2006/main">
          <x14:cfRule type="iconSet" priority="72" id="{004FD12B-307D-4568-A930-5FB28797EB6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G23</xm:sqref>
        </x14:conditionalFormatting>
        <x14:conditionalFormatting xmlns:xm="http://schemas.microsoft.com/office/excel/2006/main">
          <x14:cfRule type="iconSet" priority="54" id="{5FAE5EC3-A858-4EB0-8AE7-4B07E32AB1B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G25</xm:sqref>
        </x14:conditionalFormatting>
        <x14:conditionalFormatting xmlns:xm="http://schemas.microsoft.com/office/excel/2006/main">
          <x14:cfRule type="iconSet" priority="63" id="{1E3A49A4-C46B-4B8A-9461-1D0D9E053C4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G27</xm:sqref>
        </x14:conditionalFormatting>
        <x14:conditionalFormatting xmlns:xm="http://schemas.microsoft.com/office/excel/2006/main">
          <x14:cfRule type="iconSet" priority="45" id="{64963ED2-33B0-48FF-8B2F-F868B2411FB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G29</xm:sqref>
        </x14:conditionalFormatting>
        <x14:conditionalFormatting xmlns:xm="http://schemas.microsoft.com/office/excel/2006/main">
          <x14:cfRule type="iconSet" priority="89" id="{4C313D08-BAFC-4E6E-9846-6F9B7EF908B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H19</xm:sqref>
        </x14:conditionalFormatting>
        <x14:conditionalFormatting xmlns:xm="http://schemas.microsoft.com/office/excel/2006/main">
          <x14:cfRule type="iconSet" priority="80" id="{E8632F5E-C94F-4116-A361-76A0D380452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H21</xm:sqref>
        </x14:conditionalFormatting>
        <x14:conditionalFormatting xmlns:xm="http://schemas.microsoft.com/office/excel/2006/main">
          <x14:cfRule type="iconSet" priority="71" id="{4B905716-E226-4EF0-9A50-AA75AD4A5C2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H23</xm:sqref>
        </x14:conditionalFormatting>
        <x14:conditionalFormatting xmlns:xm="http://schemas.microsoft.com/office/excel/2006/main">
          <x14:cfRule type="iconSet" priority="53" id="{0247DF6A-9B96-4553-A9FD-5BBE19E1C0E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H25</xm:sqref>
        </x14:conditionalFormatting>
        <x14:conditionalFormatting xmlns:xm="http://schemas.microsoft.com/office/excel/2006/main">
          <x14:cfRule type="iconSet" priority="62" id="{16B73037-7EE8-46A2-B94F-C2986F1D6CD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H27</xm:sqref>
        </x14:conditionalFormatting>
        <x14:conditionalFormatting xmlns:xm="http://schemas.microsoft.com/office/excel/2006/main">
          <x14:cfRule type="iconSet" priority="44" id="{F77605DC-B218-4D39-80DD-2DC6BFDBCF5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H29</xm:sqref>
        </x14:conditionalFormatting>
        <x14:conditionalFormatting xmlns:xm="http://schemas.microsoft.com/office/excel/2006/main">
          <x14:cfRule type="iconSet" priority="88" id="{20C2BA10-D02C-4B73-BACF-A39D43CF386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I19</xm:sqref>
        </x14:conditionalFormatting>
        <x14:conditionalFormatting xmlns:xm="http://schemas.microsoft.com/office/excel/2006/main">
          <x14:cfRule type="iconSet" priority="79" id="{10239CB8-F3A3-4FC0-840A-6B2F86E5077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I21</xm:sqref>
        </x14:conditionalFormatting>
        <x14:conditionalFormatting xmlns:xm="http://schemas.microsoft.com/office/excel/2006/main">
          <x14:cfRule type="iconSet" priority="70" id="{AC907C99-098E-4F9B-9B68-A1F02D73B98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I23</xm:sqref>
        </x14:conditionalFormatting>
        <x14:conditionalFormatting xmlns:xm="http://schemas.microsoft.com/office/excel/2006/main">
          <x14:cfRule type="iconSet" priority="52" id="{1B06B270-BF89-453C-B8C2-B70E09B657B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I25</xm:sqref>
        </x14:conditionalFormatting>
        <x14:conditionalFormatting xmlns:xm="http://schemas.microsoft.com/office/excel/2006/main">
          <x14:cfRule type="iconSet" priority="61" id="{FE013B4E-F007-479C-AC4E-2DBEC3487D5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I27</xm:sqref>
        </x14:conditionalFormatting>
        <x14:conditionalFormatting xmlns:xm="http://schemas.microsoft.com/office/excel/2006/main">
          <x14:cfRule type="iconSet" priority="43" id="{DA3FEA14-6E9B-47B7-8FFB-CF5C0D9AE5E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I29</xm:sqref>
        </x14:conditionalFormatting>
        <x14:conditionalFormatting xmlns:xm="http://schemas.microsoft.com/office/excel/2006/main">
          <x14:cfRule type="iconSet" priority="87" id="{8F594D56-2B46-42BC-B19D-1EF77E5D0CB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J19</xm:sqref>
        </x14:conditionalFormatting>
        <x14:conditionalFormatting xmlns:xm="http://schemas.microsoft.com/office/excel/2006/main">
          <x14:cfRule type="iconSet" priority="78" id="{A2D34EF2-A4A7-482A-B693-C35939A2117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J21</xm:sqref>
        </x14:conditionalFormatting>
        <x14:conditionalFormatting xmlns:xm="http://schemas.microsoft.com/office/excel/2006/main">
          <x14:cfRule type="iconSet" priority="69" id="{DCF9556D-A6B4-4C0B-B7CE-5E4C7068AA4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J23</xm:sqref>
        </x14:conditionalFormatting>
        <x14:conditionalFormatting xmlns:xm="http://schemas.microsoft.com/office/excel/2006/main">
          <x14:cfRule type="iconSet" priority="51" id="{F79CA4BD-22EE-48A4-9C47-D3CD244346F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J25</xm:sqref>
        </x14:conditionalFormatting>
        <x14:conditionalFormatting xmlns:xm="http://schemas.microsoft.com/office/excel/2006/main">
          <x14:cfRule type="iconSet" priority="60" id="{DB2A64C6-0571-4678-A4AF-75C8D1E7329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J27</xm:sqref>
        </x14:conditionalFormatting>
        <x14:conditionalFormatting xmlns:xm="http://schemas.microsoft.com/office/excel/2006/main">
          <x14:cfRule type="iconSet" priority="42" id="{7398800F-D7A2-46C6-8F6E-1B9CD40B855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J29</xm:sqref>
        </x14:conditionalFormatting>
        <x14:conditionalFormatting xmlns:xm="http://schemas.microsoft.com/office/excel/2006/main">
          <x14:cfRule type="iconSet" priority="86" id="{EE43DFC9-44B2-4C40-9DFC-BCBBD85FABC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K19</xm:sqref>
        </x14:conditionalFormatting>
        <x14:conditionalFormatting xmlns:xm="http://schemas.microsoft.com/office/excel/2006/main">
          <x14:cfRule type="iconSet" priority="77" id="{AB056890-D3C1-4E9B-9625-7323124EAF9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K21</xm:sqref>
        </x14:conditionalFormatting>
        <x14:conditionalFormatting xmlns:xm="http://schemas.microsoft.com/office/excel/2006/main">
          <x14:cfRule type="iconSet" priority="68" id="{9E2B2459-0C65-41AC-85DB-188799011DC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K23</xm:sqref>
        </x14:conditionalFormatting>
        <x14:conditionalFormatting xmlns:xm="http://schemas.microsoft.com/office/excel/2006/main">
          <x14:cfRule type="iconSet" priority="50" id="{9DD00F77-88C3-44B8-B558-BA9D22E99BE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59" id="{A531900A-5B0F-44A7-A0C1-2B090FD0A98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K27</xm:sqref>
        </x14:conditionalFormatting>
        <x14:conditionalFormatting xmlns:xm="http://schemas.microsoft.com/office/excel/2006/main">
          <x14:cfRule type="iconSet" priority="41" id="{9FA7879B-E7EA-4B27-9CE4-6A160E47A0B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K29</xm:sqref>
        </x14:conditionalFormatting>
        <x14:conditionalFormatting xmlns:xm="http://schemas.microsoft.com/office/excel/2006/main">
          <x14:cfRule type="iconSet" priority="85" id="{5E35A63C-CEC4-42A6-ACB3-BE6637D922A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L19</xm:sqref>
        </x14:conditionalFormatting>
        <x14:conditionalFormatting xmlns:xm="http://schemas.microsoft.com/office/excel/2006/main">
          <x14:cfRule type="iconSet" priority="76" id="{32011FA1-F0B2-4708-8B5A-36EE37E5124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L21</xm:sqref>
        </x14:conditionalFormatting>
        <x14:conditionalFormatting xmlns:xm="http://schemas.microsoft.com/office/excel/2006/main">
          <x14:cfRule type="iconSet" priority="67" id="{0FD88D01-A0FD-49D7-ADC4-FA91F153412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L23</xm:sqref>
        </x14:conditionalFormatting>
        <x14:conditionalFormatting xmlns:xm="http://schemas.microsoft.com/office/excel/2006/main">
          <x14:cfRule type="iconSet" priority="49" id="{F6DDFD1F-04F1-4BDF-BD08-D2CCE15AEE3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L25</xm:sqref>
        </x14:conditionalFormatting>
        <x14:conditionalFormatting xmlns:xm="http://schemas.microsoft.com/office/excel/2006/main">
          <x14:cfRule type="iconSet" priority="58" id="{6A726436-DB09-4995-8AF0-FA86D1BF616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L27</xm:sqref>
        </x14:conditionalFormatting>
        <x14:conditionalFormatting xmlns:xm="http://schemas.microsoft.com/office/excel/2006/main">
          <x14:cfRule type="iconSet" priority="40" id="{2B0967F5-5988-4B07-85DB-5FE53019D35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L29</xm:sqref>
        </x14:conditionalFormatting>
        <x14:conditionalFormatting xmlns:xm="http://schemas.microsoft.com/office/excel/2006/main">
          <x14:cfRule type="iconSet" priority="84" id="{A67061C9-C4AC-466C-A789-075447926D8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M19</xm:sqref>
        </x14:conditionalFormatting>
        <x14:conditionalFormatting xmlns:xm="http://schemas.microsoft.com/office/excel/2006/main">
          <x14:cfRule type="iconSet" priority="75" id="{1DA6CB8B-DA14-4A23-A426-03F3E21C946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M21</xm:sqref>
        </x14:conditionalFormatting>
        <x14:conditionalFormatting xmlns:xm="http://schemas.microsoft.com/office/excel/2006/main">
          <x14:cfRule type="iconSet" priority="66" id="{9B6884F1-EC13-4168-B1E5-6131AE45E4D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M23</xm:sqref>
        </x14:conditionalFormatting>
        <x14:conditionalFormatting xmlns:xm="http://schemas.microsoft.com/office/excel/2006/main">
          <x14:cfRule type="iconSet" priority="48" id="{F3FC55DD-E95C-4118-947F-D94E0657CD8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M25</xm:sqref>
        </x14:conditionalFormatting>
        <x14:conditionalFormatting xmlns:xm="http://schemas.microsoft.com/office/excel/2006/main">
          <x14:cfRule type="iconSet" priority="57" id="{F1749FBC-2959-49F8-98BB-6DBD8C92C14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M27</xm:sqref>
        </x14:conditionalFormatting>
        <x14:conditionalFormatting xmlns:xm="http://schemas.microsoft.com/office/excel/2006/main">
          <x14:cfRule type="iconSet" priority="39" id="{3F3985D1-D471-40ED-BF2D-25AF707C713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75F6D-E1BC-4A9C-86C6-EF51329DB4E8}">
  <dimension ref="A1:O59"/>
  <sheetViews>
    <sheetView showGridLines="0" showRowColHeaders="0" workbookViewId="0">
      <selection activeCell="D3" sqref="D3:E3"/>
    </sheetView>
  </sheetViews>
  <sheetFormatPr baseColWidth="10" defaultColWidth="0" defaultRowHeight="12.75" zeroHeight="1" x14ac:dyDescent="0.2"/>
  <cols>
    <col min="1" max="1" width="2.7109375" style="101" customWidth="1"/>
    <col min="2" max="2" width="4.42578125" style="101" customWidth="1"/>
    <col min="3" max="3" width="5.28515625" style="140" customWidth="1"/>
    <col min="4" max="4" width="8" style="140" customWidth="1"/>
    <col min="5" max="10" width="8.28515625" style="140" customWidth="1"/>
    <col min="11" max="13" width="8.28515625" style="101" customWidth="1"/>
    <col min="14" max="14" width="2.7109375" style="101" customWidth="1"/>
    <col min="15" max="15" width="11.5703125" style="101" hidden="1" customWidth="1"/>
    <col min="16" max="16384" width="11.42578125" style="101" hidden="1"/>
  </cols>
  <sheetData>
    <row r="1" spans="2:13" x14ac:dyDescent="0.2"/>
    <row r="2" spans="2:13" ht="15" x14ac:dyDescent="0.25">
      <c r="B2"/>
      <c r="C2" s="101"/>
      <c r="D2" s="471" t="s">
        <v>936</v>
      </c>
      <c r="E2" s="472"/>
      <c r="F2" s="473" t="s">
        <v>938</v>
      </c>
      <c r="G2" s="474"/>
    </row>
    <row r="3" spans="2:13" ht="23.25" x14ac:dyDescent="0.35">
      <c r="B3" s="453" t="s">
        <v>933</v>
      </c>
      <c r="C3" s="453"/>
      <c r="D3" s="431">
        <v>75</v>
      </c>
      <c r="E3" s="431"/>
      <c r="F3" s="432">
        <v>2</v>
      </c>
      <c r="G3" s="432"/>
    </row>
    <row r="4" spans="2:13" ht="23.25" x14ac:dyDescent="0.35">
      <c r="B4" s="453" t="s">
        <v>934</v>
      </c>
      <c r="C4" s="453"/>
      <c r="D4" s="431">
        <v>65</v>
      </c>
      <c r="E4" s="431"/>
      <c r="F4" s="432"/>
      <c r="G4" s="432"/>
      <c r="I4" s="287" t="str">
        <f>IF(OR((D3-D4)&lt;3,(D4-D5)&lt;3,(D3-D4)&gt;25,D5&lt;15,ISERROR(E18)),"Bitte überprüfen Sie ihre Eingaben!","")</f>
        <v/>
      </c>
    </row>
    <row r="5" spans="2:13" ht="23.25" x14ac:dyDescent="0.35">
      <c r="B5" s="453" t="s">
        <v>935</v>
      </c>
      <c r="C5" s="453"/>
      <c r="D5" s="431">
        <v>20</v>
      </c>
      <c r="E5" s="431"/>
      <c r="F5" s="432"/>
      <c r="G5" s="432"/>
    </row>
    <row r="6" spans="2:13" x14ac:dyDescent="0.2"/>
    <row r="7" spans="2:13" s="102" customFormat="1" ht="24.75" customHeight="1" x14ac:dyDescent="0.3">
      <c r="B7" s="461" t="str">
        <f>VLOOKUP(35,TXT,$F$3,0)</f>
        <v>Bodenkonvektor Modell FAN-109</v>
      </c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</row>
    <row r="8" spans="2:13" s="102" customFormat="1" ht="22.5" customHeight="1" x14ac:dyDescent="0.2">
      <c r="B8" s="462" t="str">
        <f>VLOOKUP(38,TXT,$F$3,0)</f>
        <v>mit stufenloser Querstromventilatoren EC45  24V</v>
      </c>
      <c r="C8" s="462"/>
      <c r="D8" s="462"/>
      <c r="E8" s="462"/>
      <c r="F8" s="462"/>
      <c r="G8" s="462"/>
      <c r="H8" s="462"/>
      <c r="I8" s="462"/>
      <c r="J8" s="462"/>
      <c r="K8" s="462"/>
      <c r="L8" s="462"/>
      <c r="M8" s="462"/>
    </row>
    <row r="9" spans="2:13" s="102" customFormat="1" ht="8.25" customHeight="1" x14ac:dyDescent="0.2">
      <c r="C9" s="133"/>
      <c r="D9" s="133"/>
      <c r="E9" s="133"/>
      <c r="F9" s="133"/>
      <c r="G9" s="133"/>
      <c r="H9" s="133"/>
      <c r="I9" s="133"/>
      <c r="J9" s="133"/>
    </row>
    <row r="10" spans="2:13" s="102" customFormat="1" ht="29.25" customHeight="1" x14ac:dyDescent="0.2">
      <c r="B10" s="451" t="str">
        <f>VLOOKUP(10,TXT,$F$3,0)</f>
        <v>Heizmedium</v>
      </c>
      <c r="C10" s="451"/>
      <c r="D10" s="451"/>
      <c r="E10" s="452" t="str">
        <f>CONCATENATE(D3,"° / ",D4," °C")</f>
        <v>75° / 65 °C</v>
      </c>
      <c r="F10" s="452"/>
      <c r="G10" s="452"/>
      <c r="H10" s="234"/>
      <c r="I10" s="234"/>
      <c r="J10" s="235" t="str">
        <f>VLOOKUP(11,TXT,$F$3,0)</f>
        <v>Raumtemperatur</v>
      </c>
      <c r="K10" s="460">
        <f>SUM(D5)</f>
        <v>20</v>
      </c>
      <c r="L10" s="460"/>
      <c r="M10" s="460"/>
    </row>
    <row r="11" spans="2:13" s="102" customFormat="1" ht="10.5" customHeight="1" x14ac:dyDescent="0.2">
      <c r="C11" s="133"/>
      <c r="D11" s="133"/>
      <c r="E11" s="133"/>
      <c r="F11" s="133"/>
      <c r="G11" s="133"/>
      <c r="H11" s="133"/>
      <c r="I11" s="133"/>
      <c r="J11" s="133"/>
    </row>
    <row r="12" spans="2:13" ht="24.75" customHeight="1" x14ac:dyDescent="0.25">
      <c r="B12" s="465" t="str">
        <f>VLOOKUP(9,TXT,$F$3,0)</f>
        <v>Modell</v>
      </c>
      <c r="C12" s="466"/>
      <c r="D12" s="467"/>
      <c r="E12" s="468" t="s">
        <v>1363</v>
      </c>
      <c r="F12" s="469"/>
      <c r="G12" s="470"/>
      <c r="H12" s="469" t="s">
        <v>1349</v>
      </c>
      <c r="I12" s="469"/>
      <c r="J12" s="469"/>
      <c r="K12" s="468" t="s">
        <v>1350</v>
      </c>
      <c r="L12" s="469"/>
      <c r="M12" s="470"/>
    </row>
    <row r="13" spans="2:13" x14ac:dyDescent="0.2">
      <c r="B13" s="441" t="s">
        <v>1351</v>
      </c>
      <c r="C13" s="442"/>
      <c r="D13" s="443"/>
      <c r="E13" s="446">
        <v>176</v>
      </c>
      <c r="F13" s="447"/>
      <c r="G13" s="448"/>
      <c r="H13" s="447">
        <v>224</v>
      </c>
      <c r="I13" s="447"/>
      <c r="J13" s="447"/>
      <c r="K13" s="446">
        <v>272</v>
      </c>
      <c r="L13" s="447"/>
      <c r="M13" s="448"/>
    </row>
    <row r="14" spans="2:13" x14ac:dyDescent="0.2">
      <c r="B14" s="441" t="s">
        <v>1352</v>
      </c>
      <c r="C14" s="442"/>
      <c r="D14" s="443"/>
      <c r="E14" s="446">
        <v>109</v>
      </c>
      <c r="F14" s="447"/>
      <c r="G14" s="448"/>
      <c r="H14" s="447">
        <v>109</v>
      </c>
      <c r="I14" s="447"/>
      <c r="J14" s="447"/>
      <c r="K14" s="446">
        <v>109</v>
      </c>
      <c r="L14" s="447"/>
      <c r="M14" s="448"/>
    </row>
    <row r="15" spans="2:13" x14ac:dyDescent="0.2">
      <c r="B15" s="236"/>
      <c r="C15" s="237"/>
      <c r="D15" s="238"/>
      <c r="E15" s="457" t="s">
        <v>1364</v>
      </c>
      <c r="F15" s="458"/>
      <c r="G15" s="459"/>
      <c r="H15" s="458" t="s">
        <v>1354</v>
      </c>
      <c r="I15" s="458"/>
      <c r="J15" s="458"/>
      <c r="K15" s="457" t="s">
        <v>1355</v>
      </c>
      <c r="L15" s="458"/>
      <c r="M15" s="459"/>
    </row>
    <row r="16" spans="2:13" ht="21" customHeight="1" x14ac:dyDescent="0.2">
      <c r="B16" s="236"/>
      <c r="C16" s="237"/>
      <c r="D16" s="238" t="str">
        <f>VLOOKUP(30,TXT,$F$3,0)</f>
        <v>Stufe</v>
      </c>
      <c r="E16" s="239">
        <v>0.3</v>
      </c>
      <c r="F16" s="240">
        <v>0.5</v>
      </c>
      <c r="G16" s="241">
        <v>0.8</v>
      </c>
      <c r="H16" s="240">
        <v>0.3</v>
      </c>
      <c r="I16" s="240">
        <v>0.5</v>
      </c>
      <c r="J16" s="240">
        <v>0.8</v>
      </c>
      <c r="K16" s="239">
        <v>0.3</v>
      </c>
      <c r="L16" s="240">
        <v>0.5</v>
      </c>
      <c r="M16" s="241">
        <v>0.8</v>
      </c>
    </row>
    <row r="17" spans="2:15" ht="21.75" customHeight="1" x14ac:dyDescent="0.2">
      <c r="B17" s="441" t="s">
        <v>1356</v>
      </c>
      <c r="C17" s="442"/>
      <c r="D17" s="242" t="s">
        <v>970</v>
      </c>
      <c r="E17" s="450" t="str">
        <f>VLOOKUP(13,TXT,$F$3,0)</f>
        <v>Leistungen [W]</v>
      </c>
      <c r="F17" s="450"/>
      <c r="G17" s="450"/>
      <c r="H17" s="450"/>
      <c r="I17" s="450" t="str">
        <f>VLOOKUP(45,TXT,$F$3,0)</f>
        <v>Wassermassenstrom [kg/h] *</v>
      </c>
      <c r="J17" s="450"/>
      <c r="K17" s="450"/>
      <c r="L17" s="450"/>
      <c r="M17" s="463"/>
    </row>
    <row r="18" spans="2:15" x14ac:dyDescent="0.2">
      <c r="B18" s="455">
        <v>950</v>
      </c>
      <c r="C18" s="456"/>
      <c r="D18" s="464" t="s">
        <v>971</v>
      </c>
      <c r="E18" s="134">
        <f>ROUND('BASE-FAN109-EC45-5'!B$3*($B18-300-($O18*800))*(VLOOKUP(ROUND(((($D$3+$D$4)/2)-$D$5),2),FAKT_C109,2,-1))+'BASE-FAN109-EC45-5'!B$2*$O18*(VLOOKUP(ROUND(((($D$3+$D$4)/2)-$D$5),3),FAKT_C109,3,-1)),0)</f>
        <v>274</v>
      </c>
      <c r="F18" s="135">
        <f>ROUND('BASE-FAN109-EC45-5'!C$3*($B18-300-($O18*800))*(VLOOKUP(ROUND(((($D$3+$D$4)/2)-$D$5),2),FAKT_C109,2,-1))+'BASE-FAN109-EC45-5'!C$2*$O18*(VLOOKUP(ROUND(((($D$3+$D$4)/2)-$D$5),3),FAKT_C109,3,-1)),0)</f>
        <v>386</v>
      </c>
      <c r="G18" s="136">
        <f>ROUND('BASE-FAN109-EC45-5'!D$3*($B18-300-($O18*800))*(VLOOKUP(ROUND(((($D$3+$D$4)/2)-$D$5),2),FAKT_C109,2,-1))+'BASE-FAN109-EC45-5'!D$2*$O18*(VLOOKUP(ROUND(((($D$3+$D$4)/2)-$D$5),3),FAKT_C109,3,-1)),0)</f>
        <v>482</v>
      </c>
      <c r="H18" s="144">
        <f>ROUND('BASE-FAN109-EC45-5'!E$3*($B18-300-($O18*800))*(VLOOKUP(ROUND(((($D$3+$D$4)/2)-$D$5),2),FAKT_C109,2,-1))+'BASE-FAN109-EC45-5'!E$2*$O18*(VLOOKUP(ROUND(((($D$3+$D$4)/2)-$D$5),3),FAKT_C109,3,-1)),0)</f>
        <v>443</v>
      </c>
      <c r="I18" s="135">
        <f>ROUND('BASE-FAN109-EC45-5'!F$3*($B18-300-($O18*800))*(VLOOKUP(ROUND(((($D$3+$D$4)/2)-$D$5),2),FAKT_C109,2,-1))+'BASE-FAN109-EC45-5'!F$2*$O18*(VLOOKUP(ROUND(((($D$3+$D$4)/2)-$D$5),3),FAKT_C109,3,-1)),0)</f>
        <v>629</v>
      </c>
      <c r="J18" s="145">
        <f>ROUND('BASE-FAN109-EC45-5'!G$3*($B18-300-($O18*800))*(VLOOKUP(ROUND(((($D$3+$D$4)/2)-$D$5),2),FAKT_C109,2,-1))+'BASE-FAN109-EC45-5'!G$2*$O18*(VLOOKUP(ROUND(((($D$3+$D$4)/2)-$D$5),3),FAKT_C109,3,-1)),0)</f>
        <v>797</v>
      </c>
      <c r="K18" s="134">
        <f>ROUND('BASE-FAN109-EC45-5'!H$3*($B18-300-($O18*800))*(VLOOKUP(ROUND(((($D$3+$D$4)/2)-$D$5),2),FAKT_C109,2,-1))+'BASE-FAN109-EC45-5'!H$2*$O18*(VLOOKUP(ROUND(((($D$3+$D$4)/2)-$D$5),3),FAKT_C109,3,-1)),0)</f>
        <v>533</v>
      </c>
      <c r="L18" s="135">
        <f>ROUND('BASE-FAN109-EC45-5'!I$3*($B18-300-($O18*800))*(VLOOKUP(ROUND(((($D$3+$D$4)/2)-$D$5),2),FAKT_C109,2,-1))+'BASE-FAN109-EC45-5'!I$2*$O18*(VLOOKUP(ROUND(((($D$3+$D$4)/2)-$D$5),3),FAKT_C109,3,-1)),0)</f>
        <v>757</v>
      </c>
      <c r="M18" s="136">
        <f>ROUND('BASE-FAN109-EC45-5'!J$3*($B18-300-($O18*800))*(VLOOKUP(ROUND(((($D$3+$D$4)/2)-$D$5),2),FAKT_C109,2,-1))+'BASE-FAN109-EC45-5'!J$2*$O18*(VLOOKUP(ROUND(((($D$3+$D$4)/2)-$D$5),3),FAKT_C109,3,-1)),0)</f>
        <v>939</v>
      </c>
      <c r="O18" s="445">
        <v>0.5</v>
      </c>
    </row>
    <row r="19" spans="2:15" x14ac:dyDescent="0.2">
      <c r="B19" s="455"/>
      <c r="C19" s="456"/>
      <c r="D19" s="445"/>
      <c r="E19" s="137">
        <f t="shared" ref="E19:M19" si="0">ROUNDDOWN(E18/(1.161*($D$3-$D$4)),0)</f>
        <v>23</v>
      </c>
      <c r="F19" s="138">
        <f t="shared" si="0"/>
        <v>33</v>
      </c>
      <c r="G19" s="139">
        <f t="shared" si="0"/>
        <v>41</v>
      </c>
      <c r="H19" s="146">
        <f t="shared" si="0"/>
        <v>38</v>
      </c>
      <c r="I19" s="138">
        <f t="shared" si="0"/>
        <v>54</v>
      </c>
      <c r="J19" s="147">
        <f t="shared" si="0"/>
        <v>68</v>
      </c>
      <c r="K19" s="137">
        <f t="shared" si="0"/>
        <v>45</v>
      </c>
      <c r="L19" s="138">
        <f t="shared" si="0"/>
        <v>65</v>
      </c>
      <c r="M19" s="139">
        <f t="shared" si="0"/>
        <v>80</v>
      </c>
      <c r="O19" s="445"/>
    </row>
    <row r="20" spans="2:15" x14ac:dyDescent="0.2">
      <c r="B20" s="437">
        <v>1300</v>
      </c>
      <c r="C20" s="438"/>
      <c r="D20" s="439" t="s">
        <v>972</v>
      </c>
      <c r="E20" s="243">
        <f>ROUND('BASE-FAN109-EC45-5'!B$3*($B20-300-($O20*800))*(VLOOKUP(ROUND(((($D$3+$D$4)/2)-$D$5),2),FAKT_C109,2,-1))+'BASE-FAN109-EC45-5'!B$2*$O20*(VLOOKUP(ROUND(((($D$3+$D$4)/2)-$D$5),3),FAKT_C109,3,-1)),0)</f>
        <v>507</v>
      </c>
      <c r="F20" s="244">
        <f>ROUND('BASE-FAN109-EC45-5'!C$3*($B20-300-($O20*800))*(VLOOKUP(ROUND(((($D$3+$D$4)/2)-$D$5),2),FAKT_C109,2,-1))+'BASE-FAN109-EC45-5'!C$2*$O20*(VLOOKUP(ROUND(((($D$3+$D$4)/2)-$D$5),3),FAKT_C109,3,-1)),0)</f>
        <v>732</v>
      </c>
      <c r="G20" s="245">
        <f>ROUND('BASE-FAN109-EC45-5'!D$3*($B20-300-($O20*800))*(VLOOKUP(ROUND(((($D$3+$D$4)/2)-$D$5),2),FAKT_C109,2,-1))+'BASE-FAN109-EC45-5'!D$2*$O20*(VLOOKUP(ROUND(((($D$3+$D$4)/2)-$D$5),3),FAKT_C109,3,-1)),0)</f>
        <v>924</v>
      </c>
      <c r="H20" s="252">
        <f>ROUND('BASE-FAN109-EC45-5'!E$3*($B20-300-($O20*800))*(VLOOKUP(ROUND(((($D$3+$D$4)/2)-$D$5),2),FAKT_C109,2,-1))+'BASE-FAN109-EC45-5'!E$2*$O20*(VLOOKUP(ROUND(((($D$3+$D$4)/2)-$D$5),3),FAKT_C109,3,-1)),0)</f>
        <v>812</v>
      </c>
      <c r="I20" s="244">
        <f>ROUND('BASE-FAN109-EC45-5'!F$3*($B20-300-($O20*800))*(VLOOKUP(ROUND(((($D$3+$D$4)/2)-$D$5),2),FAKT_C109,2,-1))+'BASE-FAN109-EC45-5'!F$2*$O20*(VLOOKUP(ROUND(((($D$3+$D$4)/2)-$D$5),3),FAKT_C109,3,-1)),0)</f>
        <v>1184</v>
      </c>
      <c r="J20" s="253">
        <f>ROUND('BASE-FAN109-EC45-5'!G$3*($B20-300-($O20*800))*(VLOOKUP(ROUND(((($D$3+$D$4)/2)-$D$5),2),FAKT_C109,2,-1))+'BASE-FAN109-EC45-5'!G$2*$O20*(VLOOKUP(ROUND(((($D$3+$D$4)/2)-$D$5),3),FAKT_C109,3,-1)),0)</f>
        <v>1521</v>
      </c>
      <c r="K20" s="243">
        <f>ROUND('BASE-FAN109-EC45-5'!H$3*($B20-300-($O20*800))*(VLOOKUP(ROUND(((($D$3+$D$4)/2)-$D$5),2),FAKT_C109,2,-1))+'BASE-FAN109-EC45-5'!H$2*$O20*(VLOOKUP(ROUND(((($D$3+$D$4)/2)-$D$5),3),FAKT_C109,3,-1)),0)</f>
        <v>959</v>
      </c>
      <c r="L20" s="244">
        <f>ROUND('BASE-FAN109-EC45-5'!I$3*($B20-300-($O20*800))*(VLOOKUP(ROUND(((($D$3+$D$4)/2)-$D$5),2),FAKT_C109,2,-1))+'BASE-FAN109-EC45-5'!I$2*$O20*(VLOOKUP(ROUND(((($D$3+$D$4)/2)-$D$5),3),FAKT_C109,3,-1)),0)</f>
        <v>1406</v>
      </c>
      <c r="M20" s="245">
        <f>ROUND('BASE-FAN109-EC45-5'!J$3*($B20-300-($O20*800))*(VLOOKUP(ROUND(((($D$3+$D$4)/2)-$D$5),2),FAKT_C109,2,-1))+'BASE-FAN109-EC45-5'!J$2*$O20*(VLOOKUP(ROUND(((($D$3+$D$4)/2)-$D$5),3),FAKT_C109,3,-1)),0)</f>
        <v>1771</v>
      </c>
      <c r="O20" s="454">
        <v>1</v>
      </c>
    </row>
    <row r="21" spans="2:15" x14ac:dyDescent="0.2">
      <c r="B21" s="437"/>
      <c r="C21" s="438"/>
      <c r="D21" s="440"/>
      <c r="E21" s="246">
        <f t="shared" ref="E21:M21" si="1">ROUNDDOWN(E20/(1.161*($D$3-$D$4)),0)</f>
        <v>43</v>
      </c>
      <c r="F21" s="247">
        <f t="shared" si="1"/>
        <v>63</v>
      </c>
      <c r="G21" s="248">
        <f t="shared" si="1"/>
        <v>79</v>
      </c>
      <c r="H21" s="254">
        <f t="shared" si="1"/>
        <v>69</v>
      </c>
      <c r="I21" s="247">
        <f t="shared" si="1"/>
        <v>101</v>
      </c>
      <c r="J21" s="255">
        <f t="shared" si="1"/>
        <v>131</v>
      </c>
      <c r="K21" s="246">
        <f t="shared" si="1"/>
        <v>82</v>
      </c>
      <c r="L21" s="247">
        <f t="shared" si="1"/>
        <v>121</v>
      </c>
      <c r="M21" s="248">
        <f t="shared" si="1"/>
        <v>152</v>
      </c>
      <c r="O21" s="454"/>
    </row>
    <row r="22" spans="2:15" x14ac:dyDescent="0.2">
      <c r="B22" s="455">
        <v>1750</v>
      </c>
      <c r="C22" s="456"/>
      <c r="D22" s="444" t="s">
        <v>973</v>
      </c>
      <c r="E22" s="134">
        <f>ROUND('BASE-FAN109-EC45-5'!B$3*($B22-300-($O22*800))*(VLOOKUP(ROUND(((($D$3+$D$4)/2)-$D$5),2),FAKT_C109,2,-1))+'BASE-FAN109-EC45-5'!B$2*$O22*(VLOOKUP(ROUND(((($D$3+$D$4)/2)-$D$5),3),FAKT_C109,3,-1)),0)</f>
        <v>754</v>
      </c>
      <c r="F22" s="135">
        <f>ROUND('BASE-FAN109-EC45-5'!C$3*($B22-300-($O22*800))*(VLOOKUP(ROUND(((($D$3+$D$4)/2)-$D$5),2),FAKT_C109,2,-1))+'BASE-FAN109-EC45-5'!C$2*$O22*(VLOOKUP(ROUND(((($D$3+$D$4)/2)-$D$5),3),FAKT_C109,3,-1)),0)</f>
        <v>1091</v>
      </c>
      <c r="G22" s="136">
        <f>ROUND('BASE-FAN109-EC45-5'!D$3*($B22-300-($O22*800))*(VLOOKUP(ROUND(((($D$3+$D$4)/2)-$D$5),2),FAKT_C109,2,-1))+'BASE-FAN109-EC45-5'!D$2*$O22*(VLOOKUP(ROUND(((($D$3+$D$4)/2)-$D$5),3),FAKT_C109,3,-1)),0)</f>
        <v>1379</v>
      </c>
      <c r="H22" s="144">
        <f>ROUND('BASE-FAN109-EC45-5'!E$3*($B22-300-($O22*800))*(VLOOKUP(ROUND(((($D$3+$D$4)/2)-$D$5),2),FAKT_C109,2,-1))+'BASE-FAN109-EC45-5'!E$2*$O22*(VLOOKUP(ROUND(((($D$3+$D$4)/2)-$D$5),3),FAKT_C109,3,-1)),0)</f>
        <v>1206</v>
      </c>
      <c r="I22" s="135">
        <f>ROUND('BASE-FAN109-EC45-5'!F$3*($B22-300-($O22*800))*(VLOOKUP(ROUND(((($D$3+$D$4)/2)-$D$5),2),FAKT_C109,2,-1))+'BASE-FAN109-EC45-5'!F$2*$O22*(VLOOKUP(ROUND(((($D$3+$D$4)/2)-$D$5),3),FAKT_C109,3,-1)),0)</f>
        <v>1764</v>
      </c>
      <c r="J22" s="145">
        <f>ROUND('BASE-FAN109-EC45-5'!G$3*($B22-300-($O22*800))*(VLOOKUP(ROUND(((($D$3+$D$4)/2)-$D$5),2),FAKT_C109,2,-1))+'BASE-FAN109-EC45-5'!G$2*$O22*(VLOOKUP(ROUND(((($D$3+$D$4)/2)-$D$5),3),FAKT_C109,3,-1)),0)</f>
        <v>2269</v>
      </c>
      <c r="K22" s="134">
        <f>ROUND('BASE-FAN109-EC45-5'!H$3*($B22-300-($O22*800))*(VLOOKUP(ROUND(((($D$3+$D$4)/2)-$D$5),2),FAKT_C109,2,-1))+'BASE-FAN109-EC45-5'!H$2*$O22*(VLOOKUP(ROUND(((($D$3+$D$4)/2)-$D$5),3),FAKT_C109,3,-1)),0)</f>
        <v>1421</v>
      </c>
      <c r="L22" s="135">
        <f>ROUND('BASE-FAN109-EC45-5'!I$3*($B22-300-($O22*800))*(VLOOKUP(ROUND(((($D$3+$D$4)/2)-$D$5),2),FAKT_C109,2,-1))+'BASE-FAN109-EC45-5'!I$2*$O22*(VLOOKUP(ROUND(((($D$3+$D$4)/2)-$D$5),3),FAKT_C109,3,-1)),0)</f>
        <v>2092</v>
      </c>
      <c r="M22" s="136">
        <f>ROUND('BASE-FAN109-EC45-5'!J$3*($B22-300-($O22*800))*(VLOOKUP(ROUND(((($D$3+$D$4)/2)-$D$5),2),FAKT_C109,2,-1))+'BASE-FAN109-EC45-5'!J$2*$O22*(VLOOKUP(ROUND(((($D$3+$D$4)/2)-$D$5),3),FAKT_C109,3,-1)),0)</f>
        <v>2639</v>
      </c>
      <c r="O22" s="445">
        <v>1.5</v>
      </c>
    </row>
    <row r="23" spans="2:15" x14ac:dyDescent="0.2">
      <c r="B23" s="455"/>
      <c r="C23" s="456"/>
      <c r="D23" s="445"/>
      <c r="E23" s="137">
        <f t="shared" ref="E23:M23" si="2">ROUNDDOWN(E22/(1.161*($D$3-$D$4)),0)</f>
        <v>64</v>
      </c>
      <c r="F23" s="138">
        <f t="shared" si="2"/>
        <v>93</v>
      </c>
      <c r="G23" s="139">
        <f t="shared" si="2"/>
        <v>118</v>
      </c>
      <c r="H23" s="146">
        <f t="shared" si="2"/>
        <v>103</v>
      </c>
      <c r="I23" s="138">
        <f t="shared" si="2"/>
        <v>151</v>
      </c>
      <c r="J23" s="147">
        <f t="shared" si="2"/>
        <v>195</v>
      </c>
      <c r="K23" s="137">
        <f t="shared" si="2"/>
        <v>122</v>
      </c>
      <c r="L23" s="138">
        <f t="shared" si="2"/>
        <v>180</v>
      </c>
      <c r="M23" s="139">
        <f t="shared" si="2"/>
        <v>227</v>
      </c>
      <c r="O23" s="445"/>
    </row>
    <row r="24" spans="2:15" x14ac:dyDescent="0.2">
      <c r="B24" s="437">
        <v>2100</v>
      </c>
      <c r="C24" s="438"/>
      <c r="D24" s="439" t="s">
        <v>974</v>
      </c>
      <c r="E24" s="243">
        <f>ROUND('BASE-FAN109-EC45-5'!B$3*($B24-300-($O24*800))*(VLOOKUP(ROUND(((($D$3+$D$4)/2)-$D$5),2),FAKT_C109,2,-1))+'BASE-FAN109-EC45-5'!B$2*$O24*(VLOOKUP(ROUND(((($D$3+$D$4)/2)-$D$5),3),FAKT_C109,3,-1)),0)</f>
        <v>987</v>
      </c>
      <c r="F24" s="244">
        <f>ROUND('BASE-FAN109-EC45-5'!C$3*($B24-300-($O24*800))*(VLOOKUP(ROUND(((($D$3+$D$4)/2)-$D$5),2),FAKT_C109,2,-1))+'BASE-FAN109-EC45-5'!C$2*$O24*(VLOOKUP(ROUND(((($D$3+$D$4)/2)-$D$5),3),FAKT_C109,3,-1)),0)</f>
        <v>1437</v>
      </c>
      <c r="G24" s="245">
        <f>ROUND('BASE-FAN109-EC45-5'!D$3*($B24-300-($O24*800))*(VLOOKUP(ROUND(((($D$3+$D$4)/2)-$D$5),2),FAKT_C109,2,-1))+'BASE-FAN109-EC45-5'!D$2*$O24*(VLOOKUP(ROUND(((($D$3+$D$4)/2)-$D$5),3),FAKT_C109,3,-1)),0)</f>
        <v>1821</v>
      </c>
      <c r="H24" s="252">
        <f>ROUND('BASE-FAN109-EC45-5'!E$3*($B24-300-($O24*800))*(VLOOKUP(ROUND(((($D$3+$D$4)/2)-$D$5),2),FAKT_C109,2,-1))+'BASE-FAN109-EC45-5'!E$2*$O24*(VLOOKUP(ROUND(((($D$3+$D$4)/2)-$D$5),3),FAKT_C109,3,-1)),0)</f>
        <v>1575</v>
      </c>
      <c r="I24" s="244">
        <f>ROUND('BASE-FAN109-EC45-5'!F$3*($B24-300-($O24*800))*(VLOOKUP(ROUND(((($D$3+$D$4)/2)-$D$5),2),FAKT_C109,2,-1))+'BASE-FAN109-EC45-5'!F$2*$O24*(VLOOKUP(ROUND(((($D$3+$D$4)/2)-$D$5),3),FAKT_C109,3,-1)),0)</f>
        <v>2319</v>
      </c>
      <c r="J24" s="253">
        <f>ROUND('BASE-FAN109-EC45-5'!G$3*($B24-300-($O24*800))*(VLOOKUP(ROUND(((($D$3+$D$4)/2)-$D$5),2),FAKT_C109,2,-1))+'BASE-FAN109-EC45-5'!G$2*$O24*(VLOOKUP(ROUND(((($D$3+$D$4)/2)-$D$5),3),FAKT_C109,3,-1)),0)</f>
        <v>2993</v>
      </c>
      <c r="K24" s="243">
        <f>ROUND('BASE-FAN109-EC45-5'!H$3*($B24-300-($O24*800))*(VLOOKUP(ROUND(((($D$3+$D$4)/2)-$D$5),2),FAKT_C109,2,-1))+'BASE-FAN109-EC45-5'!H$2*$O24*(VLOOKUP(ROUND(((($D$3+$D$4)/2)-$D$5),3),FAKT_C109,3,-1)),0)</f>
        <v>1847</v>
      </c>
      <c r="L24" s="244">
        <f>ROUND('BASE-FAN109-EC45-5'!I$3*($B24-300-($O24*800))*(VLOOKUP(ROUND(((($D$3+$D$4)/2)-$D$5),2),FAKT_C109,2,-1))+'BASE-FAN109-EC45-5'!I$2*$O24*(VLOOKUP(ROUND(((($D$3+$D$4)/2)-$D$5),3),FAKT_C109,3,-1)),0)</f>
        <v>2741</v>
      </c>
      <c r="M24" s="245">
        <f>ROUND('BASE-FAN109-EC45-5'!J$3*($B24-300-($O24*800))*(VLOOKUP(ROUND(((($D$3+$D$4)/2)-$D$5),2),FAKT_C109,2,-1))+'BASE-FAN109-EC45-5'!J$2*$O24*(VLOOKUP(ROUND(((($D$3+$D$4)/2)-$D$5),3),FAKT_C109,3,-1)),0)</f>
        <v>3471</v>
      </c>
      <c r="O24" s="454">
        <v>2</v>
      </c>
    </row>
    <row r="25" spans="2:15" x14ac:dyDescent="0.2">
      <c r="B25" s="437"/>
      <c r="C25" s="438"/>
      <c r="D25" s="440"/>
      <c r="E25" s="246">
        <f t="shared" ref="E25:M25" si="3">ROUNDDOWN(E24/(1.161*($D$3-$D$4)),0)</f>
        <v>85</v>
      </c>
      <c r="F25" s="247">
        <f t="shared" si="3"/>
        <v>123</v>
      </c>
      <c r="G25" s="248">
        <f t="shared" si="3"/>
        <v>156</v>
      </c>
      <c r="H25" s="254">
        <f t="shared" si="3"/>
        <v>135</v>
      </c>
      <c r="I25" s="247">
        <f t="shared" si="3"/>
        <v>199</v>
      </c>
      <c r="J25" s="255">
        <f t="shared" si="3"/>
        <v>257</v>
      </c>
      <c r="K25" s="246">
        <f t="shared" si="3"/>
        <v>159</v>
      </c>
      <c r="L25" s="247">
        <f t="shared" si="3"/>
        <v>236</v>
      </c>
      <c r="M25" s="248">
        <f t="shared" si="3"/>
        <v>298</v>
      </c>
      <c r="O25" s="454"/>
    </row>
    <row r="26" spans="2:15" x14ac:dyDescent="0.2">
      <c r="B26" s="455">
        <v>2550</v>
      </c>
      <c r="C26" s="456"/>
      <c r="D26" s="444" t="s">
        <v>975</v>
      </c>
      <c r="E26" s="134">
        <f>ROUND('BASE-FAN109-EC45-5'!B$3*($B26-300-($O26*800))*(VLOOKUP(ROUND(((($D$3+$D$4)/2)-$D$5),2),FAKT_C109,2,-1))+'BASE-FAN109-EC45-5'!B$2*$O26*(VLOOKUP(ROUND(((($D$3+$D$4)/2)-$D$5),3),FAKT_C109,3,-1)),0)</f>
        <v>1234</v>
      </c>
      <c r="F26" s="135">
        <f>ROUND('BASE-FAN109-EC45-5'!C$3*($B26-300-($O26*800))*(VLOOKUP(ROUND(((($D$3+$D$4)/2)-$D$5),2),FAKT_C109,2,-1))+'BASE-FAN109-EC45-5'!C$2*$O26*(VLOOKUP(ROUND(((($D$3+$D$4)/2)-$D$5),3),FAKT_C109,3,-1)),0)</f>
        <v>1796</v>
      </c>
      <c r="G26" s="136">
        <f>ROUND('BASE-FAN109-EC45-5'!D$3*($B26-300-($O26*800))*(VLOOKUP(ROUND(((($D$3+$D$4)/2)-$D$5),2),FAKT_C109,2,-1))+'BASE-FAN109-EC45-5'!D$2*$O26*(VLOOKUP(ROUND(((($D$3+$D$4)/2)-$D$5),3),FAKT_C109,3,-1)),0)</f>
        <v>2276</v>
      </c>
      <c r="H26" s="144">
        <f>ROUND('BASE-FAN109-EC45-5'!E$3*($B26-300-($O26*800))*(VLOOKUP(ROUND(((($D$3+$D$4)/2)-$D$5),2),FAKT_C109,2,-1))+'BASE-FAN109-EC45-5'!E$2*$O26*(VLOOKUP(ROUND(((($D$3+$D$4)/2)-$D$5),3),FAKT_C109,3,-1)),0)</f>
        <v>1969</v>
      </c>
      <c r="I26" s="135">
        <f>ROUND('BASE-FAN109-EC45-5'!F$3*($B26-300-($O26*800))*(VLOOKUP(ROUND(((($D$3+$D$4)/2)-$D$5),2),FAKT_C109,2,-1))+'BASE-FAN109-EC45-5'!F$2*$O26*(VLOOKUP(ROUND(((($D$3+$D$4)/2)-$D$5),3),FAKT_C109,3,-1)),0)</f>
        <v>2899</v>
      </c>
      <c r="J26" s="145">
        <f>ROUND('BASE-FAN109-EC45-5'!G$3*($B26-300-($O26*800))*(VLOOKUP(ROUND(((($D$3+$D$4)/2)-$D$5),2),FAKT_C109,2,-1))+'BASE-FAN109-EC45-5'!G$2*$O26*(VLOOKUP(ROUND(((($D$3+$D$4)/2)-$D$5),3),FAKT_C109,3,-1)),0)</f>
        <v>3741</v>
      </c>
      <c r="K26" s="134">
        <f>ROUND('BASE-FAN109-EC45-5'!H$3*($B26-300-($O26*800))*(VLOOKUP(ROUND(((($D$3+$D$4)/2)-$D$5),2),FAKT_C109,2,-1))+'BASE-FAN109-EC45-5'!H$2*$O26*(VLOOKUP(ROUND(((($D$3+$D$4)/2)-$D$5),3),FAKT_C109,3,-1)),0)</f>
        <v>2309</v>
      </c>
      <c r="L26" s="135">
        <f>ROUND('BASE-FAN109-EC45-5'!I$3*($B26-300-($O26*800))*(VLOOKUP(ROUND(((($D$3+$D$4)/2)-$D$5),2),FAKT_C109,2,-1))+'BASE-FAN109-EC45-5'!I$2*$O26*(VLOOKUP(ROUND(((($D$3+$D$4)/2)-$D$5),3),FAKT_C109,3,-1)),0)</f>
        <v>3427</v>
      </c>
      <c r="M26" s="136">
        <f>ROUND('BASE-FAN109-EC45-5'!J$3*($B26-300-($O26*800))*(VLOOKUP(ROUND(((($D$3+$D$4)/2)-$D$5),2),FAKT_C109,2,-1))+'BASE-FAN109-EC45-5'!J$2*$O26*(VLOOKUP(ROUND(((($D$3+$D$4)/2)-$D$5),3),FAKT_C109,3,-1)),0)</f>
        <v>4339</v>
      </c>
      <c r="O26" s="445">
        <v>2.5</v>
      </c>
    </row>
    <row r="27" spans="2:15" x14ac:dyDescent="0.2">
      <c r="B27" s="455"/>
      <c r="C27" s="456"/>
      <c r="D27" s="445"/>
      <c r="E27" s="137">
        <f t="shared" ref="E27:M27" si="4">ROUNDDOWN(E26/(1.161*($D$3-$D$4)),0)</f>
        <v>106</v>
      </c>
      <c r="F27" s="138">
        <f t="shared" si="4"/>
        <v>154</v>
      </c>
      <c r="G27" s="139">
        <f t="shared" si="4"/>
        <v>196</v>
      </c>
      <c r="H27" s="146">
        <f t="shared" si="4"/>
        <v>169</v>
      </c>
      <c r="I27" s="138">
        <f t="shared" si="4"/>
        <v>249</v>
      </c>
      <c r="J27" s="147">
        <f t="shared" si="4"/>
        <v>322</v>
      </c>
      <c r="K27" s="137">
        <f t="shared" si="4"/>
        <v>198</v>
      </c>
      <c r="L27" s="138">
        <f t="shared" si="4"/>
        <v>295</v>
      </c>
      <c r="M27" s="139">
        <f t="shared" si="4"/>
        <v>373</v>
      </c>
      <c r="O27" s="445"/>
    </row>
    <row r="28" spans="2:15" x14ac:dyDescent="0.2">
      <c r="B28" s="437">
        <v>2900</v>
      </c>
      <c r="C28" s="438"/>
      <c r="D28" s="439" t="s">
        <v>976</v>
      </c>
      <c r="E28" s="243">
        <f>ROUND('BASE-FAN109-EC45-5'!B$3*($B28-300-($O28*800))*(VLOOKUP(ROUND(((($D$3+$D$4)/2)-$D$5),2),FAKT_C109,2,-1))+'BASE-FAN109-EC45-5'!B$2*$O28*(VLOOKUP(ROUND(((($D$3+$D$4)/2)-$D$5),3),FAKT_C109,3,-1)),0)</f>
        <v>1467</v>
      </c>
      <c r="F28" s="244">
        <f>ROUND('BASE-FAN109-EC45-5'!C$3*($B28-300-($O28*800))*(VLOOKUP(ROUND(((($D$3+$D$4)/2)-$D$5),2),FAKT_C109,2,-1))+'BASE-FAN109-EC45-5'!C$2*$O28*(VLOOKUP(ROUND(((($D$3+$D$4)/2)-$D$5),3),FAKT_C109,3,-1)),0)</f>
        <v>2142</v>
      </c>
      <c r="G28" s="245">
        <f>ROUND('BASE-FAN109-EC45-5'!D$3*($B28-300-($O28*800))*(VLOOKUP(ROUND(((($D$3+$D$4)/2)-$D$5),2),FAKT_C109,2,-1))+'BASE-FAN109-EC45-5'!D$2*$O28*(VLOOKUP(ROUND(((($D$3+$D$4)/2)-$D$5),3),FAKT_C109,3,-1)),0)</f>
        <v>2718</v>
      </c>
      <c r="H28" s="252">
        <f>ROUND('BASE-FAN109-EC45-5'!E$3*($B28-300-($O28*800))*(VLOOKUP(ROUND(((($D$3+$D$4)/2)-$D$5),2),FAKT_C109,2,-1))+'BASE-FAN109-EC45-5'!E$2*$O28*(VLOOKUP(ROUND(((($D$3+$D$4)/2)-$D$5),3),FAKT_C109,3,-1)),0)</f>
        <v>2338</v>
      </c>
      <c r="I28" s="244">
        <f>ROUND('BASE-FAN109-EC45-5'!F$3*($B28-300-($O28*800))*(VLOOKUP(ROUND(((($D$3+$D$4)/2)-$D$5),2),FAKT_C109,2,-1))+'BASE-FAN109-EC45-5'!F$2*$O28*(VLOOKUP(ROUND(((($D$3+$D$4)/2)-$D$5),3),FAKT_C109,3,-1)),0)</f>
        <v>3454</v>
      </c>
      <c r="J28" s="253">
        <f>ROUND('BASE-FAN109-EC45-5'!G$3*($B28-300-($O28*800))*(VLOOKUP(ROUND(((($D$3+$D$4)/2)-$D$5),2),FAKT_C109,2,-1))+'BASE-FAN109-EC45-5'!G$2*$O28*(VLOOKUP(ROUND(((($D$3+$D$4)/2)-$D$5),3),FAKT_C109,3,-1)),0)</f>
        <v>4465</v>
      </c>
      <c r="K28" s="243">
        <f>ROUND('BASE-FAN109-EC45-5'!H$3*($B28-300-($O28*800))*(VLOOKUP(ROUND(((($D$3+$D$4)/2)-$D$5),2),FAKT_C109,2,-1))+'BASE-FAN109-EC45-5'!H$2*$O28*(VLOOKUP(ROUND(((($D$3+$D$4)/2)-$D$5),3),FAKT_C109,3,-1)),0)</f>
        <v>2735</v>
      </c>
      <c r="L28" s="244">
        <f>ROUND('BASE-FAN109-EC45-5'!I$3*($B28-300-($O28*800))*(VLOOKUP(ROUND(((($D$3+$D$4)/2)-$D$5),2),FAKT_C109,2,-1))+'BASE-FAN109-EC45-5'!I$2*$O28*(VLOOKUP(ROUND(((($D$3+$D$4)/2)-$D$5),3),FAKT_C109,3,-1)),0)</f>
        <v>4076</v>
      </c>
      <c r="M28" s="245">
        <f>ROUND('BASE-FAN109-EC45-5'!J$3*($B28-300-($O28*800))*(VLOOKUP(ROUND(((($D$3+$D$4)/2)-$D$5),2),FAKT_C109,2,-1))+'BASE-FAN109-EC45-5'!J$2*$O28*(VLOOKUP(ROUND(((($D$3+$D$4)/2)-$D$5),3),FAKT_C109,3,-1)),0)</f>
        <v>5171</v>
      </c>
      <c r="O28" s="454">
        <v>3</v>
      </c>
    </row>
    <row r="29" spans="2:15" x14ac:dyDescent="0.2">
      <c r="B29" s="437"/>
      <c r="C29" s="438"/>
      <c r="D29" s="440"/>
      <c r="E29" s="246">
        <f t="shared" ref="E29:M29" si="5">ROUNDDOWN(E28/(1.161*($D$3-$D$4)),0)</f>
        <v>126</v>
      </c>
      <c r="F29" s="247">
        <f t="shared" si="5"/>
        <v>184</v>
      </c>
      <c r="G29" s="248">
        <f t="shared" si="5"/>
        <v>234</v>
      </c>
      <c r="H29" s="254">
        <f t="shared" si="5"/>
        <v>201</v>
      </c>
      <c r="I29" s="247">
        <f t="shared" si="5"/>
        <v>297</v>
      </c>
      <c r="J29" s="255">
        <f t="shared" si="5"/>
        <v>384</v>
      </c>
      <c r="K29" s="246">
        <f t="shared" si="5"/>
        <v>235</v>
      </c>
      <c r="L29" s="247">
        <f t="shared" si="5"/>
        <v>351</v>
      </c>
      <c r="M29" s="248">
        <f t="shared" si="5"/>
        <v>445</v>
      </c>
      <c r="O29" s="454"/>
    </row>
    <row r="30" spans="2:15" x14ac:dyDescent="0.2">
      <c r="B30" s="148"/>
      <c r="C30" s="148"/>
    </row>
    <row r="31" spans="2:15" x14ac:dyDescent="0.2">
      <c r="B31" s="141" t="str">
        <f>VLOOKUP(36,TXT,$F$3,0)</f>
        <v>Angabe in Watt  pro Bodenkonvektor-Länge L [mm]</v>
      </c>
      <c r="M31" s="121" t="str">
        <f>VLOOKUP(16,TXT,$F$3,0)</f>
        <v>Wärmeleistungen in Anlehnung an EN 442-2</v>
      </c>
    </row>
    <row r="32" spans="2:15" x14ac:dyDescent="0.2">
      <c r="B32" s="141" t="str">
        <f>VLOOKUP(59,TXT,$F$3,0)</f>
        <v>Bei Sonderkonstruktionen dient die Leistungstabelle als Richtwert</v>
      </c>
    </row>
    <row r="33" spans="2:7" x14ac:dyDescent="0.2">
      <c r="B33" s="141" t="str">
        <f>VLOOKUP(90,TXT,$F$3,0)</f>
        <v>Leistungsdaten mit Abdeckung, Rollrost Typ 941-17-B (f.Q. 70%)</v>
      </c>
    </row>
    <row r="34" spans="2:7" x14ac:dyDescent="0.2">
      <c r="B34" s="120" t="str">
        <f>CONCATENATE("(*) ",VLOOKUP(29,TXT,$F$3,0))</f>
        <v>(*) Minimale Wassermassenströme von ca. 20 kg/h sollen eingehalten werden</v>
      </c>
      <c r="G34" s="120"/>
    </row>
    <row r="35" spans="2:7" x14ac:dyDescent="0.2">
      <c r="B35" s="141" t="str">
        <f>CONCATENATE("(*) ",VLOOKUP(95,TXT,$F$3,0))</f>
        <v>(*) Massenstrom rechnerisch ermittelt, allfäliger Projektabgleich machen</v>
      </c>
      <c r="G35" s="120"/>
    </row>
    <row r="36" spans="2:7" x14ac:dyDescent="0.2">
      <c r="G36" s="120"/>
    </row>
    <row r="37" spans="2:7" x14ac:dyDescent="0.2"/>
    <row r="38" spans="2:7" x14ac:dyDescent="0.2">
      <c r="B38" s="249" t="s">
        <v>1357</v>
      </c>
      <c r="C38" s="250"/>
      <c r="D38" s="251" t="str">
        <f>VLOOKUP(31,TXT,$F$3,0)</f>
        <v>Gesamtlänge Bodenkonvektor</v>
      </c>
      <c r="E38" s="250"/>
      <c r="F38" s="250"/>
      <c r="G38" s="250"/>
    </row>
    <row r="39" spans="2:7" x14ac:dyDescent="0.2">
      <c r="B39" s="249" t="s">
        <v>1358</v>
      </c>
      <c r="C39" s="250"/>
      <c r="D39" s="251" t="str">
        <f>VLOOKUP(32,TXT,$F$3,0)</f>
        <v>Breite Bodenkonvektor</v>
      </c>
      <c r="E39" s="250"/>
      <c r="F39" s="250"/>
      <c r="G39" s="250"/>
    </row>
    <row r="40" spans="2:7" x14ac:dyDescent="0.2">
      <c r="B40" s="249" t="s">
        <v>1359</v>
      </c>
      <c r="C40" s="250"/>
      <c r="D40" s="251" t="str">
        <f>VLOOKUP(33,TXT,$F$3,0)</f>
        <v>Höhe Bodenkonvektor</v>
      </c>
      <c r="E40" s="250"/>
      <c r="F40" s="250"/>
      <c r="G40" s="250"/>
    </row>
    <row r="41" spans="2:7" x14ac:dyDescent="0.2">
      <c r="B41" s="249" t="s">
        <v>1360</v>
      </c>
      <c r="C41" s="250"/>
      <c r="D41" s="251" t="str">
        <f>VLOOKUP(60,TXT,$F$3,0)</f>
        <v>Querstromventilator Walzen</v>
      </c>
      <c r="E41" s="250"/>
      <c r="F41" s="250"/>
      <c r="G41" s="250"/>
    </row>
    <row r="42" spans="2:7" x14ac:dyDescent="0.2">
      <c r="B42" s="249" t="s">
        <v>1361</v>
      </c>
      <c r="C42" s="250"/>
      <c r="D42" s="251" t="str">
        <f>VLOOKUP(34,TXT,$F$3,0)</f>
        <v>Motor</v>
      </c>
      <c r="E42" s="250"/>
      <c r="F42" s="250"/>
      <c r="G42" s="250"/>
    </row>
    <row r="43" spans="2:7" x14ac:dyDescent="0.2"/>
    <row r="44" spans="2:7" x14ac:dyDescent="0.2"/>
    <row r="45" spans="2:7" x14ac:dyDescent="0.2">
      <c r="B45" s="141" t="str">
        <f>VLOOKUP(39,TXT,$F$3,0)</f>
        <v>Die Zwischenlängen werden durch Leerstücke angepasst.</v>
      </c>
    </row>
    <row r="46" spans="2:7" x14ac:dyDescent="0.2"/>
    <row r="47" spans="2:7" x14ac:dyDescent="0.2"/>
    <row r="48" spans="2:7" x14ac:dyDescent="0.2"/>
    <row r="49" spans="13:13" x14ac:dyDescent="0.2"/>
    <row r="50" spans="13:13" x14ac:dyDescent="0.2"/>
    <row r="51" spans="13:13" x14ac:dyDescent="0.2"/>
    <row r="52" spans="13:13" x14ac:dyDescent="0.2"/>
    <row r="53" spans="13:13" x14ac:dyDescent="0.2"/>
    <row r="54" spans="13:13" x14ac:dyDescent="0.2"/>
    <row r="55" spans="13:13" x14ac:dyDescent="0.2"/>
    <row r="56" spans="13:13" x14ac:dyDescent="0.2">
      <c r="M56" s="142" t="str">
        <f>VLOOKUP(40,TXT,$F$3,0)</f>
        <v>Erweiterung des Bodenkanals um ein Regulierungsmodul zu integrieren</v>
      </c>
    </row>
    <row r="57" spans="13:13" x14ac:dyDescent="0.2"/>
    <row r="58" spans="13:13" x14ac:dyDescent="0.2">
      <c r="M58" s="143" t="s">
        <v>1050</v>
      </c>
    </row>
    <row r="59" spans="13:13" x14ac:dyDescent="0.2"/>
  </sheetData>
  <sheetProtection algorithmName="SHA-512" hashValue="gvBxS7TVSVhWCSpShstQNHy6uDSTYWRMt0/zW1IR/HsH8PtPaXeqnHwZI6w9sxxoM5hb53BGp3cUrJLz7Vz1vQ==" saltValue="lyfqn1WpXvkgFSNpnMtP6w==" spinCount="100000" sheet="1" objects="1" scenarios="1" selectLockedCells="1"/>
  <protectedRanges>
    <protectedRange sqref="G3:G5 F4:F5" name="Bereich1_1"/>
  </protectedRanges>
  <mergeCells count="50">
    <mergeCell ref="B10:D10"/>
    <mergeCell ref="E10:G10"/>
    <mergeCell ref="K10:M10"/>
    <mergeCell ref="B7:M7"/>
    <mergeCell ref="B8:M8"/>
    <mergeCell ref="B12:D12"/>
    <mergeCell ref="E12:G12"/>
    <mergeCell ref="H12:J12"/>
    <mergeCell ref="K12:M12"/>
    <mergeCell ref="B13:D13"/>
    <mergeCell ref="E13:G13"/>
    <mergeCell ref="H13:J13"/>
    <mergeCell ref="K13:M13"/>
    <mergeCell ref="O18:O19"/>
    <mergeCell ref="B14:D14"/>
    <mergeCell ref="E14:G14"/>
    <mergeCell ref="H14:J14"/>
    <mergeCell ref="K14:M14"/>
    <mergeCell ref="E15:G15"/>
    <mergeCell ref="H15:J15"/>
    <mergeCell ref="K15:M15"/>
    <mergeCell ref="B17:C17"/>
    <mergeCell ref="E17:H17"/>
    <mergeCell ref="I17:M17"/>
    <mergeCell ref="B18:C19"/>
    <mergeCell ref="D18:D19"/>
    <mergeCell ref="B20:C21"/>
    <mergeCell ref="D20:D21"/>
    <mergeCell ref="O20:O21"/>
    <mergeCell ref="B22:C23"/>
    <mergeCell ref="D22:D23"/>
    <mergeCell ref="O22:O23"/>
    <mergeCell ref="B28:C29"/>
    <mergeCell ref="D28:D29"/>
    <mergeCell ref="O28:O29"/>
    <mergeCell ref="B24:C25"/>
    <mergeCell ref="D24:D25"/>
    <mergeCell ref="O24:O25"/>
    <mergeCell ref="B26:C27"/>
    <mergeCell ref="D26:D27"/>
    <mergeCell ref="O26:O27"/>
    <mergeCell ref="D2:E2"/>
    <mergeCell ref="F2:G2"/>
    <mergeCell ref="B3:C3"/>
    <mergeCell ref="D3:E3"/>
    <mergeCell ref="F3:G5"/>
    <mergeCell ref="B4:C4"/>
    <mergeCell ref="D4:E4"/>
    <mergeCell ref="B5:C5"/>
    <mergeCell ref="D5:E5"/>
  </mergeCells>
  <conditionalFormatting sqref="D3:D5">
    <cfRule type="expression" dxfId="214" priority="2">
      <formula>$J$3&lt;&gt;""</formula>
    </cfRule>
  </conditionalFormatting>
  <conditionalFormatting sqref="D3:E5">
    <cfRule type="expression" dxfId="213" priority="1">
      <formula>$I$4&lt;&gt;""</formula>
    </cfRule>
  </conditionalFormatting>
  <conditionalFormatting sqref="E18:M18">
    <cfRule type="expression" dxfId="212" priority="57" stopIfTrue="1">
      <formula>E19&lt;20</formula>
    </cfRule>
  </conditionalFormatting>
  <conditionalFormatting sqref="E20:M20">
    <cfRule type="expression" dxfId="211" priority="51" stopIfTrue="1">
      <formula>E21&lt;20</formula>
    </cfRule>
  </conditionalFormatting>
  <conditionalFormatting sqref="E22:M22">
    <cfRule type="expression" dxfId="210" priority="30" stopIfTrue="1">
      <formula>E23&lt;20</formula>
    </cfRule>
  </conditionalFormatting>
  <conditionalFormatting sqref="E24:M24">
    <cfRule type="expression" dxfId="209" priority="12" stopIfTrue="1">
      <formula>E25&lt;20</formula>
    </cfRule>
  </conditionalFormatting>
  <conditionalFormatting sqref="E26:M26">
    <cfRule type="expression" dxfId="208" priority="21" stopIfTrue="1">
      <formula>E27&lt;20</formula>
    </cfRule>
  </conditionalFormatting>
  <conditionalFormatting sqref="E28:M28">
    <cfRule type="expression" dxfId="207" priority="3" stopIfTrue="1">
      <formula>E29&lt;20</formula>
    </cfRule>
  </conditionalFormatting>
  <dataValidations count="5">
    <dataValidation allowBlank="1" showDropDown="1" showInputMessage="1" showErrorMessage="1" sqref="O18 O20 O22 O24 O26 O28 D18 D20 D22 D24 D26 D28" xr:uid="{3C68CA1C-8712-4500-A838-EFB393FC19DB}"/>
    <dataValidation type="whole" allowBlank="1" showInputMessage="1" showErrorMessage="1" sqref="D3:E3" xr:uid="{5346218F-6FDB-48BF-9C6F-B495E9E5A34C}">
      <formula1>30</formula1>
      <formula2>90</formula2>
    </dataValidation>
    <dataValidation type="whole" allowBlank="1" showInputMessage="1" showErrorMessage="1" sqref="D4:E4" xr:uid="{F77E08B9-FEA7-4785-A748-7AAB098DE770}">
      <formula1>25</formula1>
      <formula2>85</formula2>
    </dataValidation>
    <dataValidation type="whole" allowBlank="1" showInputMessage="1" showErrorMessage="1" sqref="D5:E5" xr:uid="{AAF96DA9-26D1-4D94-AE8E-F502E0E74EBC}">
      <formula1>15</formula1>
      <formula2>29</formula2>
    </dataValidation>
    <dataValidation type="whole" allowBlank="1" showInputMessage="1" showErrorMessage="1" sqref="F3:G5" xr:uid="{FF2A7005-315F-4196-979B-1ADD31931E4D}">
      <formula1>2</formula1>
      <formula2>3</formula2>
    </dataValidation>
  </dataValidations>
  <pageMargins left="0.59055118110236227" right="0.39370078740157483" top="1.1811023622047245" bottom="0.59055118110236227" header="0.31496062992125984" footer="0.51181102362204722"/>
  <pageSetup paperSize="9" orientation="portrait" r:id="rId1"/>
  <headerFooter alignWithMargins="0">
    <oddHeader>&amp;C&amp;G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9" id="{D0E02F41-8BDD-459F-811D-9BE8B184291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E19</xm:sqref>
        </x14:conditionalFormatting>
        <x14:conditionalFormatting xmlns:xm="http://schemas.microsoft.com/office/excel/2006/main">
          <x14:cfRule type="iconSet" priority="103" id="{E1E110AC-8DE2-47CA-92A0-41F5C54F7B1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E21</xm:sqref>
        </x14:conditionalFormatting>
        <x14:conditionalFormatting xmlns:xm="http://schemas.microsoft.com/office/excel/2006/main">
          <x14:cfRule type="iconSet" priority="98" id="{4B704F37-715A-4177-BF08-F7F576717E8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E23</xm:sqref>
        </x14:conditionalFormatting>
        <x14:conditionalFormatting xmlns:xm="http://schemas.microsoft.com/office/excel/2006/main">
          <x14:cfRule type="iconSet" priority="95" id="{F106A8E1-595F-4038-B4C1-CA9B3529D11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E25</xm:sqref>
        </x14:conditionalFormatting>
        <x14:conditionalFormatting xmlns:xm="http://schemas.microsoft.com/office/excel/2006/main">
          <x14:cfRule type="iconSet" priority="92" id="{0F40937A-F9B8-4CF5-AEA2-35EA4624BF3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E27</xm:sqref>
        </x14:conditionalFormatting>
        <x14:conditionalFormatting xmlns:xm="http://schemas.microsoft.com/office/excel/2006/main">
          <x14:cfRule type="iconSet" priority="89" id="{D551677B-87EF-40C9-888A-9BECABD2647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E29</xm:sqref>
        </x14:conditionalFormatting>
        <x14:conditionalFormatting xmlns:xm="http://schemas.microsoft.com/office/excel/2006/main">
          <x14:cfRule type="iconSet" priority="107" id="{91533FB8-96C8-4F01-84D1-517E88A4BC6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F19</xm:sqref>
        </x14:conditionalFormatting>
        <x14:conditionalFormatting xmlns:xm="http://schemas.microsoft.com/office/excel/2006/main">
          <x14:cfRule type="iconSet" priority="101" id="{D1EAC8D0-AF0E-4359-A445-17AD84441B5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F21</xm:sqref>
        </x14:conditionalFormatting>
        <x14:conditionalFormatting xmlns:xm="http://schemas.microsoft.com/office/excel/2006/main">
          <x14:cfRule type="iconSet" priority="97" id="{8A91C4B1-1585-4C03-A675-8FBE62664B1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F23</xm:sqref>
        </x14:conditionalFormatting>
        <x14:conditionalFormatting xmlns:xm="http://schemas.microsoft.com/office/excel/2006/main">
          <x14:cfRule type="iconSet" priority="94" id="{F3CEE884-C1E4-40AD-AA22-9A2A9641233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F25</xm:sqref>
        </x14:conditionalFormatting>
        <x14:conditionalFormatting xmlns:xm="http://schemas.microsoft.com/office/excel/2006/main">
          <x14:cfRule type="iconSet" priority="91" id="{15FE674E-8BA0-4497-B354-9705B99E119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F27</xm:sqref>
        </x14:conditionalFormatting>
        <x14:conditionalFormatting xmlns:xm="http://schemas.microsoft.com/office/excel/2006/main">
          <x14:cfRule type="iconSet" priority="88" id="{05E57309-CC0B-4EF4-80D1-F290BB29E90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F29</xm:sqref>
        </x14:conditionalFormatting>
        <x14:conditionalFormatting xmlns:xm="http://schemas.microsoft.com/office/excel/2006/main">
          <x14:cfRule type="iconSet" priority="106" id="{EC2FDFC9-ECBC-4FA0-8BF9-C06AC008A97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100" id="{BB18B606-9F81-4550-B67F-4399D1C792B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G21</xm:sqref>
        </x14:conditionalFormatting>
        <x14:conditionalFormatting xmlns:xm="http://schemas.microsoft.com/office/excel/2006/main">
          <x14:cfRule type="iconSet" priority="96" id="{3800F2B3-27E3-4FB5-8289-97613DEBA89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G23</xm:sqref>
        </x14:conditionalFormatting>
        <x14:conditionalFormatting xmlns:xm="http://schemas.microsoft.com/office/excel/2006/main">
          <x14:cfRule type="iconSet" priority="93" id="{6A61C93A-D9DB-4502-86E6-57806521B54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G25</xm:sqref>
        </x14:conditionalFormatting>
        <x14:conditionalFormatting xmlns:xm="http://schemas.microsoft.com/office/excel/2006/main">
          <x14:cfRule type="iconSet" priority="90" id="{0F57B9A9-9A69-4285-A57F-DB43CB6F3B9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G27</xm:sqref>
        </x14:conditionalFormatting>
        <x14:conditionalFormatting xmlns:xm="http://schemas.microsoft.com/office/excel/2006/main">
          <x14:cfRule type="iconSet" priority="87" id="{64E47C46-842F-4DDA-85A9-92EFE5700AC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G29</xm:sqref>
        </x14:conditionalFormatting>
        <x14:conditionalFormatting xmlns:xm="http://schemas.microsoft.com/office/excel/2006/main">
          <x14:cfRule type="iconSet" priority="85" id="{F36AC762-8F29-4800-8585-2757FEFAD34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H19</xm:sqref>
        </x14:conditionalFormatting>
        <x14:conditionalFormatting xmlns:xm="http://schemas.microsoft.com/office/excel/2006/main">
          <x14:cfRule type="iconSet" priority="79" id="{D0ADF3E1-89D3-404C-B42F-0DF75C7AE17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H21</xm:sqref>
        </x14:conditionalFormatting>
        <x14:conditionalFormatting xmlns:xm="http://schemas.microsoft.com/office/excel/2006/main">
          <x14:cfRule type="iconSet" priority="74" id="{6BF4E5AA-8A7E-497E-91F3-696FF586015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H23</xm:sqref>
        </x14:conditionalFormatting>
        <x14:conditionalFormatting xmlns:xm="http://schemas.microsoft.com/office/excel/2006/main">
          <x14:cfRule type="iconSet" priority="71" id="{A74EE749-E2ED-4F9E-B750-1D735089388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H25</xm:sqref>
        </x14:conditionalFormatting>
        <x14:conditionalFormatting xmlns:xm="http://schemas.microsoft.com/office/excel/2006/main">
          <x14:cfRule type="iconSet" priority="68" id="{D8E707BA-A549-40F0-8237-21818AAA75D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H27</xm:sqref>
        </x14:conditionalFormatting>
        <x14:conditionalFormatting xmlns:xm="http://schemas.microsoft.com/office/excel/2006/main">
          <x14:cfRule type="iconSet" priority="65" id="{7BBD57E6-44F4-45CF-83EC-9BE9F845365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H29</xm:sqref>
        </x14:conditionalFormatting>
        <x14:conditionalFormatting xmlns:xm="http://schemas.microsoft.com/office/excel/2006/main">
          <x14:cfRule type="iconSet" priority="83" id="{A5FA79E3-AB7C-43A2-94DA-18E4891D1B1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I19</xm:sqref>
        </x14:conditionalFormatting>
        <x14:conditionalFormatting xmlns:xm="http://schemas.microsoft.com/office/excel/2006/main">
          <x14:cfRule type="iconSet" priority="77" id="{0BAA8A9D-F88A-4F5C-9911-8E89CBA11E8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I21</xm:sqref>
        </x14:conditionalFormatting>
        <x14:conditionalFormatting xmlns:xm="http://schemas.microsoft.com/office/excel/2006/main">
          <x14:cfRule type="iconSet" priority="73" id="{DACC0964-F814-4297-B517-80DB3B547B3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I23</xm:sqref>
        </x14:conditionalFormatting>
        <x14:conditionalFormatting xmlns:xm="http://schemas.microsoft.com/office/excel/2006/main">
          <x14:cfRule type="iconSet" priority="70" id="{13BB3950-8068-48B4-8E1E-1E0BE00E3CF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I25</xm:sqref>
        </x14:conditionalFormatting>
        <x14:conditionalFormatting xmlns:xm="http://schemas.microsoft.com/office/excel/2006/main">
          <x14:cfRule type="iconSet" priority="67" id="{03A21C23-7263-4ECF-9080-33C6F05E5B6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I27</xm:sqref>
        </x14:conditionalFormatting>
        <x14:conditionalFormatting xmlns:xm="http://schemas.microsoft.com/office/excel/2006/main">
          <x14:cfRule type="iconSet" priority="64" id="{7649CE8A-AD66-4038-A959-2583CF5317E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I29</xm:sqref>
        </x14:conditionalFormatting>
        <x14:conditionalFormatting xmlns:xm="http://schemas.microsoft.com/office/excel/2006/main">
          <x14:cfRule type="iconSet" priority="82" id="{91CA94A2-D4A5-4972-A88B-CE56E4BB1DC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J19</xm:sqref>
        </x14:conditionalFormatting>
        <x14:conditionalFormatting xmlns:xm="http://schemas.microsoft.com/office/excel/2006/main">
          <x14:cfRule type="iconSet" priority="76" id="{E1370EA8-C2C3-41EB-801B-857A082AC35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J21</xm:sqref>
        </x14:conditionalFormatting>
        <x14:conditionalFormatting xmlns:xm="http://schemas.microsoft.com/office/excel/2006/main">
          <x14:cfRule type="iconSet" priority="72" id="{68ECD1E6-1913-4B3C-B183-D5C2DB40ED8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J23</xm:sqref>
        </x14:conditionalFormatting>
        <x14:conditionalFormatting xmlns:xm="http://schemas.microsoft.com/office/excel/2006/main">
          <x14:cfRule type="iconSet" priority="69" id="{153BF657-E2DE-4470-B1ED-7CDA769B412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J25</xm:sqref>
        </x14:conditionalFormatting>
        <x14:conditionalFormatting xmlns:xm="http://schemas.microsoft.com/office/excel/2006/main">
          <x14:cfRule type="iconSet" priority="66" id="{8E3ADB2A-2B87-495F-8264-B4DCEF226C1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J27</xm:sqref>
        </x14:conditionalFormatting>
        <x14:conditionalFormatting xmlns:xm="http://schemas.microsoft.com/office/excel/2006/main">
          <x14:cfRule type="iconSet" priority="63" id="{97D07D50-FFCC-4E01-B11E-259D1DD5BC2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J29</xm:sqref>
        </x14:conditionalFormatting>
        <x14:conditionalFormatting xmlns:xm="http://schemas.microsoft.com/office/excel/2006/main">
          <x14:cfRule type="iconSet" priority="61" id="{00B83630-C16F-4D66-80DB-E6FDAE7FC92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K19</xm:sqref>
        </x14:conditionalFormatting>
        <x14:conditionalFormatting xmlns:xm="http://schemas.microsoft.com/office/excel/2006/main">
          <x14:cfRule type="iconSet" priority="55" id="{3161DF57-F67E-496A-988F-E292A8C243A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K21</xm:sqref>
        </x14:conditionalFormatting>
        <x14:conditionalFormatting xmlns:xm="http://schemas.microsoft.com/office/excel/2006/main">
          <x14:cfRule type="iconSet" priority="50" id="{D8371693-A5EC-4411-A43B-AF469FD642A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K23</xm:sqref>
        </x14:conditionalFormatting>
        <x14:conditionalFormatting xmlns:xm="http://schemas.microsoft.com/office/excel/2006/main">
          <x14:cfRule type="iconSet" priority="47" id="{41396A11-E32E-46D7-9B66-22F9C3FC122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44" id="{167A3607-4EC9-44D1-90D5-DFF43E706CC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K27</xm:sqref>
        </x14:conditionalFormatting>
        <x14:conditionalFormatting xmlns:xm="http://schemas.microsoft.com/office/excel/2006/main">
          <x14:cfRule type="iconSet" priority="41" id="{A9A3FFE4-2FDA-4286-9965-7BF13E77264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K29</xm:sqref>
        </x14:conditionalFormatting>
        <x14:conditionalFormatting xmlns:xm="http://schemas.microsoft.com/office/excel/2006/main">
          <x14:cfRule type="iconSet" priority="59" id="{685A2CDC-CB7B-4FD7-97FA-4E7C57ED7DC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L19</xm:sqref>
        </x14:conditionalFormatting>
        <x14:conditionalFormatting xmlns:xm="http://schemas.microsoft.com/office/excel/2006/main">
          <x14:cfRule type="iconSet" priority="53" id="{C48B1247-D122-48CE-B096-777E73439E0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L21</xm:sqref>
        </x14:conditionalFormatting>
        <x14:conditionalFormatting xmlns:xm="http://schemas.microsoft.com/office/excel/2006/main">
          <x14:cfRule type="iconSet" priority="49" id="{44949DCE-46EF-4625-BB9C-70BC9AAAF0A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L23</xm:sqref>
        </x14:conditionalFormatting>
        <x14:conditionalFormatting xmlns:xm="http://schemas.microsoft.com/office/excel/2006/main">
          <x14:cfRule type="iconSet" priority="46" id="{D6B0003C-C303-44BD-87E0-E1D02DDAA91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L25</xm:sqref>
        </x14:conditionalFormatting>
        <x14:conditionalFormatting xmlns:xm="http://schemas.microsoft.com/office/excel/2006/main">
          <x14:cfRule type="iconSet" priority="43" id="{F2586591-A232-46BD-BC55-27AD44FD41D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L27</xm:sqref>
        </x14:conditionalFormatting>
        <x14:conditionalFormatting xmlns:xm="http://schemas.microsoft.com/office/excel/2006/main">
          <x14:cfRule type="iconSet" priority="40" id="{92F87B95-454A-4905-9670-120BB4E3A08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L29</xm:sqref>
        </x14:conditionalFormatting>
        <x14:conditionalFormatting xmlns:xm="http://schemas.microsoft.com/office/excel/2006/main">
          <x14:cfRule type="iconSet" priority="58" id="{D40370DF-05E9-4069-ACBC-5051112300F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M19</xm:sqref>
        </x14:conditionalFormatting>
        <x14:conditionalFormatting xmlns:xm="http://schemas.microsoft.com/office/excel/2006/main">
          <x14:cfRule type="iconSet" priority="52" id="{68B2A26D-C865-4D74-99B0-BF1BF7A9B31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M21</xm:sqref>
        </x14:conditionalFormatting>
        <x14:conditionalFormatting xmlns:xm="http://schemas.microsoft.com/office/excel/2006/main">
          <x14:cfRule type="iconSet" priority="48" id="{ED2A0E7F-FE3C-49B4-8C9E-3AD898DAF0B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M23</xm:sqref>
        </x14:conditionalFormatting>
        <x14:conditionalFormatting xmlns:xm="http://schemas.microsoft.com/office/excel/2006/main">
          <x14:cfRule type="iconSet" priority="45" id="{08D6BC12-4A77-42C4-9FD0-D187313D878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M25</xm:sqref>
        </x14:conditionalFormatting>
        <x14:conditionalFormatting xmlns:xm="http://schemas.microsoft.com/office/excel/2006/main">
          <x14:cfRule type="iconSet" priority="42" id="{5881AE04-3716-4D50-94B3-90C2C0E76D1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M27</xm:sqref>
        </x14:conditionalFormatting>
        <x14:conditionalFormatting xmlns:xm="http://schemas.microsoft.com/office/excel/2006/main">
          <x14:cfRule type="iconSet" priority="39" id="{AFC75CB4-740D-4E51-956B-6DF9CB35B65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E2461-BB39-4A40-9381-0BEBE0143FA2}">
  <dimension ref="A1:N5"/>
  <sheetViews>
    <sheetView workbookViewId="0">
      <selection activeCell="F3" sqref="F3:G3"/>
    </sheetView>
  </sheetViews>
  <sheetFormatPr baseColWidth="10" defaultRowHeight="12.75" x14ac:dyDescent="0.2"/>
  <cols>
    <col min="1" max="16384" width="11.42578125" style="101"/>
  </cols>
  <sheetData>
    <row r="1" spans="1:14" x14ac:dyDescent="0.2">
      <c r="B1" s="101" t="s">
        <v>1188</v>
      </c>
      <c r="C1" s="101" t="s">
        <v>1189</v>
      </c>
      <c r="D1" s="101" t="s">
        <v>1190</v>
      </c>
      <c r="E1" s="101" t="s">
        <v>1191</v>
      </c>
      <c r="F1" s="101" t="s">
        <v>1192</v>
      </c>
      <c r="G1" s="101" t="s">
        <v>1193</v>
      </c>
      <c r="H1" s="101" t="s">
        <v>1194</v>
      </c>
      <c r="I1" s="101" t="s">
        <v>1195</v>
      </c>
      <c r="J1" s="101" t="s">
        <v>1196</v>
      </c>
      <c r="K1" s="101" t="s">
        <v>1365</v>
      </c>
      <c r="L1" s="101" t="s">
        <v>1366</v>
      </c>
      <c r="M1" s="101" t="s">
        <v>1367</v>
      </c>
      <c r="N1" s="101" t="s">
        <v>1082</v>
      </c>
    </row>
    <row r="2" spans="1:14" x14ac:dyDescent="0.2">
      <c r="A2" s="101" t="s">
        <v>1197</v>
      </c>
      <c r="B2" s="101">
        <v>480</v>
      </c>
      <c r="C2" s="101">
        <v>705</v>
      </c>
      <c r="D2" s="101">
        <v>897</v>
      </c>
      <c r="E2" s="101">
        <v>763</v>
      </c>
      <c r="F2" s="101">
        <v>1135</v>
      </c>
      <c r="G2" s="101">
        <v>1472</v>
      </c>
      <c r="H2" s="101">
        <v>888</v>
      </c>
      <c r="I2" s="101">
        <v>1335</v>
      </c>
      <c r="J2" s="101">
        <v>1700</v>
      </c>
      <c r="K2" s="101">
        <v>996</v>
      </c>
      <c r="L2" s="101">
        <v>1429</v>
      </c>
      <c r="M2" s="101">
        <v>1828</v>
      </c>
      <c r="N2" s="101" t="s">
        <v>1368</v>
      </c>
    </row>
    <row r="3" spans="1:14" x14ac:dyDescent="0.2">
      <c r="A3" s="124" t="s">
        <v>1199</v>
      </c>
      <c r="B3" s="101">
        <v>0.13500000000000001</v>
      </c>
      <c r="C3" s="101">
        <v>0.13500000000000001</v>
      </c>
      <c r="D3" s="101">
        <v>0.13500000000000001</v>
      </c>
      <c r="E3" s="101">
        <v>0.24399999999999999</v>
      </c>
      <c r="F3" s="101">
        <v>0.24399999999999999</v>
      </c>
      <c r="G3" s="101">
        <v>0.24399999999999999</v>
      </c>
      <c r="H3" s="101">
        <v>0.35699999999999998</v>
      </c>
      <c r="I3" s="101">
        <v>0.35699999999999998</v>
      </c>
      <c r="J3" s="101">
        <v>0.35699999999999998</v>
      </c>
      <c r="K3" s="101">
        <v>0.40100000000000002</v>
      </c>
      <c r="L3" s="101">
        <v>0.40100000000000002</v>
      </c>
      <c r="M3" s="101">
        <v>0.40100000000000002</v>
      </c>
      <c r="N3" s="101" t="s">
        <v>1368</v>
      </c>
    </row>
    <row r="5" spans="1:14" x14ac:dyDescent="0.2">
      <c r="A5" s="124" t="s">
        <v>1369</v>
      </c>
      <c r="B5" s="125">
        <v>43784</v>
      </c>
      <c r="C5" s="125">
        <v>43784</v>
      </c>
      <c r="D5" s="125">
        <v>43784</v>
      </c>
      <c r="E5" s="125">
        <v>43784</v>
      </c>
      <c r="F5" s="125">
        <v>43784</v>
      </c>
      <c r="G5" s="125">
        <v>43784</v>
      </c>
      <c r="H5" s="125">
        <v>43784</v>
      </c>
      <c r="I5" s="125">
        <v>43784</v>
      </c>
      <c r="J5" s="125">
        <v>43784</v>
      </c>
    </row>
  </sheetData>
  <pageMargins left="0.78740157499999996" right="0.78740157499999996" top="0.984251969" bottom="0.984251969" header="0.4921259845" footer="0.492125984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A2903-C700-4F38-B110-6660B9205340}">
  <dimension ref="A1:O57"/>
  <sheetViews>
    <sheetView showGridLines="0" showRowColHeaders="0" workbookViewId="0">
      <selection activeCell="G3" sqref="G3:H3"/>
    </sheetView>
  </sheetViews>
  <sheetFormatPr baseColWidth="10" defaultColWidth="0" defaultRowHeight="12.75" zeroHeight="1" x14ac:dyDescent="0.2"/>
  <cols>
    <col min="1" max="1" width="2.7109375" style="101" customWidth="1"/>
    <col min="2" max="2" width="6.140625" style="101" customWidth="1"/>
    <col min="3" max="3" width="7.85546875" style="140" customWidth="1"/>
    <col min="4" max="4" width="10.42578125" style="140" customWidth="1"/>
    <col min="5" max="10" width="11.28515625" style="140" customWidth="1"/>
    <col min="11" max="11" width="2.7109375" style="101" customWidth="1"/>
    <col min="12" max="13" width="8.28515625" style="101" hidden="1" customWidth="1"/>
    <col min="14" max="14" width="11.42578125" style="101" hidden="1" customWidth="1"/>
    <col min="15" max="15" width="11.5703125" style="101" hidden="1" customWidth="1"/>
    <col min="16" max="16384" width="11.42578125" style="101" hidden="1"/>
  </cols>
  <sheetData>
    <row r="1" spans="2:13" x14ac:dyDescent="0.2"/>
    <row r="2" spans="2:13" ht="15" x14ac:dyDescent="0.25">
      <c r="B2"/>
      <c r="C2" s="101"/>
      <c r="D2" s="471" t="s">
        <v>936</v>
      </c>
      <c r="E2" s="472"/>
      <c r="F2" s="285" t="s">
        <v>938</v>
      </c>
      <c r="G2"/>
    </row>
    <row r="3" spans="2:13" ht="23.25" x14ac:dyDescent="0.35">
      <c r="B3" s="453" t="s">
        <v>933</v>
      </c>
      <c r="C3" s="453"/>
      <c r="D3" s="431">
        <v>75</v>
      </c>
      <c r="E3" s="431"/>
      <c r="F3" s="432">
        <v>2</v>
      </c>
      <c r="G3" s="288"/>
    </row>
    <row r="4" spans="2:13" ht="23.25" x14ac:dyDescent="0.35">
      <c r="B4" s="453" t="s">
        <v>934</v>
      </c>
      <c r="C4" s="453"/>
      <c r="D4" s="431">
        <v>65</v>
      </c>
      <c r="E4" s="431"/>
      <c r="F4" s="432"/>
      <c r="G4" s="288"/>
      <c r="H4" s="287" t="str">
        <f>IF(OR((D3-D4)&lt;3,(D4-D5)&lt;3,(D3-D4)&gt;25,D5&lt;15,ISERROR(E18)),"Bitte überprüfen Sie ihre Eingaben!","")</f>
        <v/>
      </c>
    </row>
    <row r="5" spans="2:13" ht="23.25" x14ac:dyDescent="0.35">
      <c r="B5" s="453" t="s">
        <v>935</v>
      </c>
      <c r="C5" s="453"/>
      <c r="D5" s="431">
        <v>20</v>
      </c>
      <c r="E5" s="431"/>
      <c r="F5" s="432"/>
      <c r="G5" s="288"/>
    </row>
    <row r="6" spans="2:13" x14ac:dyDescent="0.2"/>
    <row r="7" spans="2:13" s="102" customFormat="1" ht="24.75" customHeight="1" x14ac:dyDescent="0.3">
      <c r="B7" s="461" t="str">
        <f>VLOOKUP(43,TXT,$F$3,0)</f>
        <v>Bodenkonvektor Modell FAN-125</v>
      </c>
      <c r="C7" s="461"/>
      <c r="D7" s="461"/>
      <c r="E7" s="461"/>
      <c r="F7" s="461"/>
      <c r="G7" s="461"/>
      <c r="H7" s="461"/>
      <c r="I7" s="461"/>
      <c r="J7" s="461"/>
      <c r="K7" s="149"/>
      <c r="L7" s="149"/>
      <c r="M7" s="149"/>
    </row>
    <row r="8" spans="2:13" s="102" customFormat="1" ht="22.5" customHeight="1" x14ac:dyDescent="0.2">
      <c r="B8" s="462" t="str">
        <f>VLOOKUP(44,TXT,$F$3,0)</f>
        <v>mit stufenloser Querstromventilatoren EC65  24V</v>
      </c>
      <c r="C8" s="462"/>
      <c r="D8" s="462"/>
      <c r="E8" s="462"/>
      <c r="F8" s="462"/>
      <c r="G8" s="462"/>
      <c r="H8" s="462"/>
      <c r="I8" s="462"/>
      <c r="J8" s="462"/>
      <c r="K8" s="150"/>
      <c r="L8" s="150"/>
      <c r="M8" s="150"/>
    </row>
    <row r="9" spans="2:13" s="102" customFormat="1" ht="9.75" customHeight="1" x14ac:dyDescent="0.2">
      <c r="C9" s="133"/>
      <c r="D9" s="133"/>
      <c r="E9" s="133"/>
      <c r="F9" s="133"/>
      <c r="G9" s="133"/>
      <c r="H9" s="133"/>
      <c r="I9" s="133"/>
      <c r="J9" s="133"/>
    </row>
    <row r="10" spans="2:13" s="102" customFormat="1" ht="29.25" customHeight="1" x14ac:dyDescent="0.2">
      <c r="B10" s="475" t="str">
        <f>VLOOKUP(10,TXT,$F$3,0)</f>
        <v>Heizmedium</v>
      </c>
      <c r="C10" s="475"/>
      <c r="D10" s="452" t="str">
        <f>CONCATENATE(D3,"° / ",D4," °C")</f>
        <v>75° / 65 °C</v>
      </c>
      <c r="E10" s="452"/>
      <c r="F10" s="452"/>
      <c r="G10" s="476" t="str">
        <f>VLOOKUP(11,TXT,$F$3,0)</f>
        <v>Raumtemperatur</v>
      </c>
      <c r="H10" s="476"/>
      <c r="I10" s="460">
        <f>SUM(D5)</f>
        <v>20</v>
      </c>
      <c r="J10" s="460"/>
      <c r="K10" s="151"/>
      <c r="L10" s="151"/>
      <c r="M10" s="151"/>
    </row>
    <row r="11" spans="2:13" s="102" customFormat="1" ht="12" customHeight="1" x14ac:dyDescent="0.2">
      <c r="C11" s="133"/>
      <c r="D11" s="133"/>
      <c r="E11" s="133"/>
      <c r="F11" s="133"/>
      <c r="G11" s="133"/>
      <c r="H11" s="133"/>
      <c r="I11" s="133"/>
      <c r="J11" s="133"/>
    </row>
    <row r="12" spans="2:13" ht="24.75" customHeight="1" x14ac:dyDescent="0.25">
      <c r="B12" s="465" t="str">
        <f>VLOOKUP(9,TXT,$F$3,0)</f>
        <v>Modell</v>
      </c>
      <c r="C12" s="466"/>
      <c r="D12" s="467"/>
      <c r="E12" s="469" t="s">
        <v>1370</v>
      </c>
      <c r="F12" s="469"/>
      <c r="G12" s="469"/>
      <c r="H12" s="468" t="s">
        <v>1371</v>
      </c>
      <c r="I12" s="469"/>
      <c r="J12" s="470"/>
      <c r="K12" s="152"/>
      <c r="L12" s="153"/>
      <c r="M12" s="153"/>
    </row>
    <row r="13" spans="2:13" x14ac:dyDescent="0.2">
      <c r="B13" s="441" t="s">
        <v>1351</v>
      </c>
      <c r="C13" s="442"/>
      <c r="D13" s="443"/>
      <c r="E13" s="447">
        <v>256</v>
      </c>
      <c r="F13" s="447"/>
      <c r="G13" s="447"/>
      <c r="H13" s="446">
        <v>304</v>
      </c>
      <c r="I13" s="447"/>
      <c r="J13" s="448"/>
      <c r="K13" s="154"/>
      <c r="L13" s="155"/>
      <c r="M13" s="155"/>
    </row>
    <row r="14" spans="2:13" x14ac:dyDescent="0.2">
      <c r="B14" s="441" t="s">
        <v>1352</v>
      </c>
      <c r="C14" s="442"/>
      <c r="D14" s="443"/>
      <c r="E14" s="447">
        <v>125</v>
      </c>
      <c r="F14" s="447"/>
      <c r="G14" s="447"/>
      <c r="H14" s="446">
        <v>125</v>
      </c>
      <c r="I14" s="447"/>
      <c r="J14" s="448"/>
      <c r="K14" s="154"/>
      <c r="L14" s="155"/>
      <c r="M14" s="155"/>
    </row>
    <row r="15" spans="2:13" x14ac:dyDescent="0.2">
      <c r="B15" s="236"/>
      <c r="C15" s="237"/>
      <c r="D15" s="238"/>
      <c r="E15" s="458" t="s">
        <v>1354</v>
      </c>
      <c r="F15" s="458"/>
      <c r="G15" s="458"/>
      <c r="H15" s="457" t="s">
        <v>1355</v>
      </c>
      <c r="I15" s="458"/>
      <c r="J15" s="459"/>
      <c r="K15" s="156"/>
      <c r="L15" s="157"/>
      <c r="M15" s="157"/>
    </row>
    <row r="16" spans="2:13" ht="21" customHeight="1" x14ac:dyDescent="0.2">
      <c r="B16" s="236"/>
      <c r="C16" s="237"/>
      <c r="D16" s="238" t="str">
        <f>VLOOKUP(30,TXT,$F$3,0)</f>
        <v>Stufe</v>
      </c>
      <c r="E16" s="240">
        <v>0.3</v>
      </c>
      <c r="F16" s="240">
        <v>0.5</v>
      </c>
      <c r="G16" s="240">
        <v>0.8</v>
      </c>
      <c r="H16" s="239">
        <v>0.3</v>
      </c>
      <c r="I16" s="240">
        <v>0.5</v>
      </c>
      <c r="J16" s="241">
        <v>0.8</v>
      </c>
      <c r="K16" s="158"/>
      <c r="L16" s="159"/>
      <c r="M16" s="159"/>
    </row>
    <row r="17" spans="2:15" ht="21.75" customHeight="1" x14ac:dyDescent="0.2">
      <c r="B17" s="441" t="s">
        <v>1356</v>
      </c>
      <c r="C17" s="442"/>
      <c r="D17" s="242" t="s">
        <v>970</v>
      </c>
      <c r="E17" s="449" t="str">
        <f>VLOOKUP(13,TXT,$F$3,0)</f>
        <v>Leistungen [W]</v>
      </c>
      <c r="F17" s="450"/>
      <c r="G17" s="450"/>
      <c r="H17" s="450" t="str">
        <f>VLOOKUP(45,TXT,$F$3,0)</f>
        <v>Wassermassenstrom [kg/h] *</v>
      </c>
      <c r="I17" s="450"/>
      <c r="J17" s="450"/>
      <c r="K17" s="160"/>
      <c r="L17" s="160"/>
      <c r="M17" s="160"/>
    </row>
    <row r="18" spans="2:15" x14ac:dyDescent="0.2">
      <c r="B18" s="455">
        <v>950</v>
      </c>
      <c r="C18" s="456"/>
      <c r="D18" s="464" t="s">
        <v>971</v>
      </c>
      <c r="E18" s="144">
        <f>ROUND('BASE-FAN125-EC65-5'!B$3*($B18-300-($O18*800))*(VLOOKUP(ROUND(((($D$3+$D$4)/2)-$D$5),2),FAKT_C109,2,-1))+'BASE-FAN125-EC65-5'!B$2*$O18*(VLOOKUP(ROUND(((($D$3+$D$4)/2)-$D$5),3),FAKT_C109,3,-1)),0)</f>
        <v>766</v>
      </c>
      <c r="F18" s="135">
        <f>ROUND('BASE-FAN125-EC65-5'!C$3*($B18-300-($O18*800))*(VLOOKUP(ROUND(((($D$3+$D$4)/2)-$D$5),2),FAKT_C109,2,-1))+'BASE-FAN125-EC65-5'!C$2*$O18*(VLOOKUP(ROUND(((($D$3+$D$4)/2)-$D$5),3),FAKT_C109,3,-1)),0)</f>
        <v>952</v>
      </c>
      <c r="G18" s="136">
        <f>ROUND('BASE-FAN125-EC65-5'!D$3*($B18-300-($O18*800))*(VLOOKUP(ROUND(((($D$3+$D$4)/2)-$D$5),2),FAKT_C109,2,-1))+'BASE-FAN125-EC65-5'!D$2*$O18*(VLOOKUP(ROUND(((($D$3+$D$4)/2)-$D$5),3),FAKT_C109,3,-1)),0)</f>
        <v>1063</v>
      </c>
      <c r="H18" s="144">
        <f>ROUND('BASE-FAN125-EC65-5'!E$3*($B18-300-($O18*800))*(VLOOKUP(ROUND(((($D$3+$D$4)/2)-$D$5),2),FAKT_C109,2,-1))+'BASE-FAN125-EC65-5'!E$2*$O18*(VLOOKUP(ROUND(((($D$3+$D$4)/2)-$D$5),3),FAKT_C109,3,-1)),0)</f>
        <v>909</v>
      </c>
      <c r="I18" s="135">
        <f>ROUND('BASE-FAN125-EC65-5'!F$3*($B18-300-($O18*800))*(VLOOKUP(ROUND(((($D$3+$D$4)/2)-$D$5),2),FAKT_C109,2,-1))+'BASE-FAN125-EC65-5'!F$2*$O18*(VLOOKUP(ROUND(((($D$3+$D$4)/2)-$D$5),3),FAKT_C109,3,-1)),0)</f>
        <v>1094</v>
      </c>
      <c r="J18" s="136">
        <f>ROUND('BASE-FAN125-EC65-5'!G$3*($B18-300-($O18*800))*(VLOOKUP(ROUND(((($D$3+$D$4)/2)-$D$5),2),FAKT_C109,2,-1))+'BASE-FAN125-EC65-5'!G$2*$O18*(VLOOKUP(ROUND(((($D$3+$D$4)/2)-$D$5),3),FAKT_C109,3,-1)),0)</f>
        <v>1169</v>
      </c>
      <c r="K18" s="161"/>
      <c r="L18" s="161"/>
      <c r="M18" s="161"/>
      <c r="O18" s="445">
        <v>0.5</v>
      </c>
    </row>
    <row r="19" spans="2:15" x14ac:dyDescent="0.2">
      <c r="B19" s="455"/>
      <c r="C19" s="456"/>
      <c r="D19" s="445"/>
      <c r="E19" s="146">
        <f t="shared" ref="E19:J19" si="0">ROUNDDOWN(E18/(1.161*($D$3-$D$4)),0)</f>
        <v>65</v>
      </c>
      <c r="F19" s="138">
        <f t="shared" si="0"/>
        <v>81</v>
      </c>
      <c r="G19" s="139">
        <f t="shared" si="0"/>
        <v>91</v>
      </c>
      <c r="H19" s="146">
        <f t="shared" si="0"/>
        <v>78</v>
      </c>
      <c r="I19" s="138">
        <f t="shared" si="0"/>
        <v>94</v>
      </c>
      <c r="J19" s="139">
        <f t="shared" si="0"/>
        <v>100</v>
      </c>
      <c r="K19" s="162"/>
      <c r="L19" s="162"/>
      <c r="M19" s="162"/>
      <c r="O19" s="445"/>
    </row>
    <row r="20" spans="2:15" x14ac:dyDescent="0.2">
      <c r="B20" s="437">
        <v>1300</v>
      </c>
      <c r="C20" s="438"/>
      <c r="D20" s="439" t="s">
        <v>972</v>
      </c>
      <c r="E20" s="252">
        <f>ROUND('BASE-FAN125-EC65-5'!B$3*($B20-300-($O20*800))*(VLOOKUP(ROUND(((($D$3+$D$4)/2)-$D$5),2),FAKT_C109,2,-1))+'BASE-FAN125-EC65-5'!B$2*$O20*(VLOOKUP(ROUND(((($D$3+$D$4)/2)-$D$5),3),FAKT_C109,3,-1)),0)</f>
        <v>1459</v>
      </c>
      <c r="F20" s="244">
        <f>ROUND('BASE-FAN125-EC65-5'!C$3*($B20-300-($O20*800))*(VLOOKUP(ROUND(((($D$3+$D$4)/2)-$D$5),2),FAKT_C109,2,-1))+'BASE-FAN125-EC65-5'!C$2*$O20*(VLOOKUP(ROUND(((($D$3+$D$4)/2)-$D$5),3),FAKT_C109,3,-1)),0)</f>
        <v>1831</v>
      </c>
      <c r="G20" s="245">
        <f>ROUND('BASE-FAN125-EC65-5'!D$3*($B20-300-($O20*800))*(VLOOKUP(ROUND(((($D$3+$D$4)/2)-$D$5),2),FAKT_C109,2,-1))+'BASE-FAN125-EC65-5'!D$2*$O20*(VLOOKUP(ROUND(((($D$3+$D$4)/2)-$D$5),3),FAKT_C109,3,-1)),0)</f>
        <v>2052</v>
      </c>
      <c r="H20" s="252">
        <f>ROUND('BASE-FAN125-EC65-5'!E$3*($B20-300-($O20*800))*(VLOOKUP(ROUND(((($D$3+$D$4)/2)-$D$5),2),FAKT_C109,2,-1))+'BASE-FAN125-EC65-5'!E$2*$O20*(VLOOKUP(ROUND(((($D$3+$D$4)/2)-$D$5),3),FAKT_C109,3,-1)),0)</f>
        <v>1711</v>
      </c>
      <c r="I20" s="244">
        <f>ROUND('BASE-FAN125-EC65-5'!F$3*($B20-300-($O20*800))*(VLOOKUP(ROUND(((($D$3+$D$4)/2)-$D$5),2),FAKT_C109,2,-1))+'BASE-FAN125-EC65-5'!F$2*$O20*(VLOOKUP(ROUND(((($D$3+$D$4)/2)-$D$5),3),FAKT_C109,3,-1)),0)</f>
        <v>2081</v>
      </c>
      <c r="J20" s="245">
        <f>ROUND('BASE-FAN125-EC65-5'!G$3*($B20-300-($O20*800))*(VLOOKUP(ROUND(((($D$3+$D$4)/2)-$D$5),2),FAKT_C109,2,-1))+'BASE-FAN125-EC65-5'!G$2*$O20*(VLOOKUP(ROUND(((($D$3+$D$4)/2)-$D$5),3),FAKT_C109,3,-1)),0)</f>
        <v>2230</v>
      </c>
      <c r="K20" s="161"/>
      <c r="L20" s="161"/>
      <c r="M20" s="161"/>
      <c r="O20" s="454">
        <v>1</v>
      </c>
    </row>
    <row r="21" spans="2:15" x14ac:dyDescent="0.2">
      <c r="B21" s="437"/>
      <c r="C21" s="438"/>
      <c r="D21" s="440"/>
      <c r="E21" s="254">
        <f t="shared" ref="E21:J21" si="1">ROUNDDOWN(E20/(1.161*($D$3-$D$4)),0)</f>
        <v>125</v>
      </c>
      <c r="F21" s="247">
        <f t="shared" si="1"/>
        <v>157</v>
      </c>
      <c r="G21" s="248">
        <f t="shared" si="1"/>
        <v>176</v>
      </c>
      <c r="H21" s="254">
        <f t="shared" si="1"/>
        <v>147</v>
      </c>
      <c r="I21" s="247">
        <f t="shared" si="1"/>
        <v>179</v>
      </c>
      <c r="J21" s="248">
        <f t="shared" si="1"/>
        <v>192</v>
      </c>
      <c r="K21" s="162"/>
      <c r="L21" s="162"/>
      <c r="M21" s="162"/>
      <c r="O21" s="454"/>
    </row>
    <row r="22" spans="2:15" x14ac:dyDescent="0.2">
      <c r="B22" s="455">
        <v>1750</v>
      </c>
      <c r="C22" s="456"/>
      <c r="D22" s="444" t="s">
        <v>973</v>
      </c>
      <c r="E22" s="144">
        <f>ROUND('BASE-FAN125-EC65-5'!B$3*($B22-300-($O22*800))*(VLOOKUP(ROUND(((($D$3+$D$4)/2)-$D$5),2),FAKT_C109,2,-1))+'BASE-FAN125-EC65-5'!B$2*$O22*(VLOOKUP(ROUND(((($D$3+$D$4)/2)-$D$5),3),FAKT_C109,3,-1)),0)</f>
        <v>2176</v>
      </c>
      <c r="F22" s="135">
        <f>ROUND('BASE-FAN125-EC65-5'!C$3*($B22-300-($O22*800))*(VLOOKUP(ROUND(((($D$3+$D$4)/2)-$D$5),2),FAKT_C109,2,-1))+'BASE-FAN125-EC65-5'!C$2*$O22*(VLOOKUP(ROUND(((($D$3+$D$4)/2)-$D$5),3),FAKT_C109,3,-1)),0)</f>
        <v>2734</v>
      </c>
      <c r="G22" s="136">
        <f>ROUND('BASE-FAN125-EC65-5'!D$3*($B22-300-($O22*800))*(VLOOKUP(ROUND(((($D$3+$D$4)/2)-$D$5),2),FAKT_C109,2,-1))+'BASE-FAN125-EC65-5'!D$2*$O22*(VLOOKUP(ROUND(((($D$3+$D$4)/2)-$D$5),3),FAKT_C109,3,-1)),0)</f>
        <v>3066</v>
      </c>
      <c r="H22" s="144">
        <f>ROUND('BASE-FAN125-EC65-5'!E$3*($B22-300-($O22*800))*(VLOOKUP(ROUND(((($D$3+$D$4)/2)-$D$5),2),FAKT_C109,2,-1))+'BASE-FAN125-EC65-5'!E$2*$O22*(VLOOKUP(ROUND(((($D$3+$D$4)/2)-$D$5),3),FAKT_C109,3,-1)),0)</f>
        <v>2549</v>
      </c>
      <c r="I22" s="135">
        <f>ROUND('BASE-FAN125-EC65-5'!F$3*($B22-300-($O22*800))*(VLOOKUP(ROUND(((($D$3+$D$4)/2)-$D$5),2),FAKT_C109,2,-1))+'BASE-FAN125-EC65-5'!F$2*$O22*(VLOOKUP(ROUND(((($D$3+$D$4)/2)-$D$5),3),FAKT_C109,3,-1)),0)</f>
        <v>3104</v>
      </c>
      <c r="J22" s="136">
        <f>ROUND('BASE-FAN125-EC65-5'!G$3*($B22-300-($O22*800))*(VLOOKUP(ROUND(((($D$3+$D$4)/2)-$D$5),2),FAKT_C109,2,-1))+'BASE-FAN125-EC65-5'!G$2*$O22*(VLOOKUP(ROUND(((($D$3+$D$4)/2)-$D$5),3),FAKT_C109,3,-1)),0)</f>
        <v>3328</v>
      </c>
      <c r="K22" s="161"/>
      <c r="L22" s="161"/>
      <c r="M22" s="161"/>
      <c r="O22" s="445">
        <v>1.5</v>
      </c>
    </row>
    <row r="23" spans="2:15" x14ac:dyDescent="0.2">
      <c r="B23" s="455"/>
      <c r="C23" s="456"/>
      <c r="D23" s="445"/>
      <c r="E23" s="146">
        <f t="shared" ref="E23:J23" si="2">ROUNDDOWN(E22/(1.161*($D$3-$D$4)),0)</f>
        <v>187</v>
      </c>
      <c r="F23" s="138">
        <f t="shared" si="2"/>
        <v>235</v>
      </c>
      <c r="G23" s="139">
        <f t="shared" si="2"/>
        <v>264</v>
      </c>
      <c r="H23" s="146">
        <f t="shared" si="2"/>
        <v>219</v>
      </c>
      <c r="I23" s="138">
        <f t="shared" si="2"/>
        <v>267</v>
      </c>
      <c r="J23" s="139">
        <f t="shared" si="2"/>
        <v>286</v>
      </c>
      <c r="K23" s="162"/>
      <c r="L23" s="162"/>
      <c r="M23" s="162"/>
      <c r="O23" s="445"/>
    </row>
    <row r="24" spans="2:15" x14ac:dyDescent="0.2">
      <c r="B24" s="437">
        <v>2100</v>
      </c>
      <c r="C24" s="438"/>
      <c r="D24" s="439" t="s">
        <v>974</v>
      </c>
      <c r="E24" s="252">
        <f>ROUND('BASE-FAN125-EC65-5'!B$3*($B24-300-($O24*800))*(VLOOKUP(ROUND(((($D$3+$D$4)/2)-$D$5),2),FAKT_C109,2,-1))+'BASE-FAN125-EC65-5'!B$2*$O24*(VLOOKUP(ROUND(((($D$3+$D$4)/2)-$D$5),3),FAKT_C109,3,-1)),0)</f>
        <v>2869</v>
      </c>
      <c r="F24" s="244">
        <f>ROUND('BASE-FAN125-EC65-5'!C$3*($B24-300-($O24*800))*(VLOOKUP(ROUND(((($D$3+$D$4)/2)-$D$5),2),FAKT_C109,2,-1))+'BASE-FAN125-EC65-5'!C$2*$O24*(VLOOKUP(ROUND(((($D$3+$D$4)/2)-$D$5),3),FAKT_C109,3,-1)),0)</f>
        <v>3613</v>
      </c>
      <c r="G24" s="245">
        <f>ROUND('BASE-FAN125-EC65-5'!D$3*($B24-300-($O24*800))*(VLOOKUP(ROUND(((($D$3+$D$4)/2)-$D$5),2),FAKT_C109,2,-1))+'BASE-FAN125-EC65-5'!D$2*$O24*(VLOOKUP(ROUND(((($D$3+$D$4)/2)-$D$5),3),FAKT_C109,3,-1)),0)</f>
        <v>4055</v>
      </c>
      <c r="H24" s="252">
        <f>ROUND('BASE-FAN125-EC65-5'!E$3*($B24-300-($O24*800))*(VLOOKUP(ROUND(((($D$3+$D$4)/2)-$D$5),2),FAKT_C109,2,-1))+'BASE-FAN125-EC65-5'!E$2*$O24*(VLOOKUP(ROUND(((($D$3+$D$4)/2)-$D$5),3),FAKT_C109,3,-1)),0)</f>
        <v>3351</v>
      </c>
      <c r="I24" s="244">
        <f>ROUND('BASE-FAN125-EC65-5'!F$3*($B24-300-($O24*800))*(VLOOKUP(ROUND(((($D$3+$D$4)/2)-$D$5),2),FAKT_C109,2,-1))+'BASE-FAN125-EC65-5'!F$2*$O24*(VLOOKUP(ROUND(((($D$3+$D$4)/2)-$D$5),3),FAKT_C109,3,-1)),0)</f>
        <v>4091</v>
      </c>
      <c r="J24" s="245">
        <f>ROUND('BASE-FAN125-EC65-5'!G$3*($B24-300-($O24*800))*(VLOOKUP(ROUND(((($D$3+$D$4)/2)-$D$5),2),FAKT_C109,2,-1))+'BASE-FAN125-EC65-5'!G$2*$O24*(VLOOKUP(ROUND(((($D$3+$D$4)/2)-$D$5),3),FAKT_C109,3,-1)),0)</f>
        <v>4389</v>
      </c>
      <c r="K24" s="161"/>
      <c r="L24" s="161"/>
      <c r="M24" s="161"/>
      <c r="O24" s="454">
        <v>2</v>
      </c>
    </row>
    <row r="25" spans="2:15" x14ac:dyDescent="0.2">
      <c r="B25" s="437"/>
      <c r="C25" s="438"/>
      <c r="D25" s="440"/>
      <c r="E25" s="254">
        <f t="shared" ref="E25:J25" si="3">ROUNDDOWN(E24/(1.161*($D$3-$D$4)),0)</f>
        <v>247</v>
      </c>
      <c r="F25" s="247">
        <f t="shared" si="3"/>
        <v>311</v>
      </c>
      <c r="G25" s="248">
        <f t="shared" si="3"/>
        <v>349</v>
      </c>
      <c r="H25" s="254">
        <f t="shared" si="3"/>
        <v>288</v>
      </c>
      <c r="I25" s="247">
        <f t="shared" si="3"/>
        <v>352</v>
      </c>
      <c r="J25" s="248">
        <f t="shared" si="3"/>
        <v>378</v>
      </c>
      <c r="K25" s="162"/>
      <c r="L25" s="162"/>
      <c r="M25" s="162"/>
      <c r="O25" s="454"/>
    </row>
    <row r="26" spans="2:15" x14ac:dyDescent="0.2">
      <c r="B26" s="455">
        <v>2550</v>
      </c>
      <c r="C26" s="456"/>
      <c r="D26" s="444" t="s">
        <v>975</v>
      </c>
      <c r="E26" s="144">
        <f>ROUND('BASE-FAN125-EC65-5'!B$3*($B26-300-($O26*800))*(VLOOKUP(ROUND(((($D$3+$D$4)/2)-$D$5),2),FAKT_C109,2,-1))+'BASE-FAN125-EC65-5'!B$2*$O26*(VLOOKUP(ROUND(((($D$3+$D$4)/2)-$D$5),3),FAKT_C109,3,-1)),0)</f>
        <v>3586</v>
      </c>
      <c r="F26" s="135">
        <f>ROUND('BASE-FAN125-EC65-5'!C$3*($B26-300-($O26*800))*(VLOOKUP(ROUND(((($D$3+$D$4)/2)-$D$5),2),FAKT_C109,2,-1))+'BASE-FAN125-EC65-5'!C$2*$O26*(VLOOKUP(ROUND(((($D$3+$D$4)/2)-$D$5),3),FAKT_C109,3,-1)),0)</f>
        <v>4516</v>
      </c>
      <c r="G26" s="136">
        <f>ROUND('BASE-FAN125-EC65-5'!D$3*($B26-300-($O26*800))*(VLOOKUP(ROUND(((($D$3+$D$4)/2)-$D$5),2),FAKT_C109,2,-1))+'BASE-FAN125-EC65-5'!D$2*$O26*(VLOOKUP(ROUND(((($D$3+$D$4)/2)-$D$5),3),FAKT_C109,3,-1)),0)</f>
        <v>5069</v>
      </c>
      <c r="H26" s="144">
        <f>ROUND('BASE-FAN125-EC65-5'!E$3*($B26-300-($O26*800))*(VLOOKUP(ROUND(((($D$3+$D$4)/2)-$D$5),2),FAKT_C109,2,-1))+'BASE-FAN125-EC65-5'!E$2*$O26*(VLOOKUP(ROUND(((($D$3+$D$4)/2)-$D$5),3),FAKT_C109,3,-1)),0)</f>
        <v>4189</v>
      </c>
      <c r="I26" s="135">
        <f>ROUND('BASE-FAN125-EC65-5'!F$3*($B26-300-($O26*800))*(VLOOKUP(ROUND(((($D$3+$D$4)/2)-$D$5),2),FAKT_C109,2,-1))+'BASE-FAN125-EC65-5'!F$2*$O26*(VLOOKUP(ROUND(((($D$3+$D$4)/2)-$D$5),3),FAKT_C109,3,-1)),0)</f>
        <v>5114</v>
      </c>
      <c r="J26" s="136">
        <f>ROUND('BASE-FAN125-EC65-5'!G$3*($B26-300-($O26*800))*(VLOOKUP(ROUND(((($D$3+$D$4)/2)-$D$5),2),FAKT_C109,2,-1))+'BASE-FAN125-EC65-5'!G$2*$O26*(VLOOKUP(ROUND(((($D$3+$D$4)/2)-$D$5),3),FAKT_C109,3,-1)),0)</f>
        <v>5487</v>
      </c>
      <c r="K26" s="161"/>
      <c r="L26" s="161"/>
      <c r="M26" s="161"/>
      <c r="O26" s="445">
        <v>2.5</v>
      </c>
    </row>
    <row r="27" spans="2:15" x14ac:dyDescent="0.2">
      <c r="B27" s="455"/>
      <c r="C27" s="456"/>
      <c r="D27" s="445"/>
      <c r="E27" s="146">
        <f t="shared" ref="E27:J27" si="4">ROUNDDOWN(E26/(1.161*($D$3-$D$4)),0)</f>
        <v>308</v>
      </c>
      <c r="F27" s="138">
        <f t="shared" si="4"/>
        <v>388</v>
      </c>
      <c r="G27" s="139">
        <f t="shared" si="4"/>
        <v>436</v>
      </c>
      <c r="H27" s="146">
        <f t="shared" si="4"/>
        <v>360</v>
      </c>
      <c r="I27" s="138">
        <f t="shared" si="4"/>
        <v>440</v>
      </c>
      <c r="J27" s="139">
        <f t="shared" si="4"/>
        <v>472</v>
      </c>
      <c r="K27" s="162"/>
      <c r="L27" s="162"/>
      <c r="M27" s="162"/>
      <c r="O27" s="445"/>
    </row>
    <row r="28" spans="2:15" x14ac:dyDescent="0.2">
      <c r="B28" s="437">
        <v>2900</v>
      </c>
      <c r="C28" s="438"/>
      <c r="D28" s="439" t="s">
        <v>976</v>
      </c>
      <c r="E28" s="252">
        <f>ROUND('BASE-FAN125-EC65-5'!B$3*($B28-300-($O28*800))*(VLOOKUP(ROUND(((($D$3+$D$4)/2)-$D$5),2),FAKT_C109,2,-1))+'BASE-FAN125-EC65-5'!B$2*$O28*(VLOOKUP(ROUND(((($D$3+$D$4)/2)-$D$5),3),FAKT_C109,3,-1)),0)</f>
        <v>4279</v>
      </c>
      <c r="F28" s="244">
        <f>ROUND('BASE-FAN125-EC65-5'!C$3*($B28-300-($O28*800))*(VLOOKUP(ROUND(((($D$3+$D$4)/2)-$D$5),2),FAKT_C109,2,-1))+'BASE-FAN125-EC65-5'!C$2*$O28*(VLOOKUP(ROUND(((($D$3+$D$4)/2)-$D$5),3),FAKT_C109,3,-1)),0)</f>
        <v>5395</v>
      </c>
      <c r="G28" s="245">
        <f>ROUND('BASE-FAN125-EC65-5'!D$3*($B28-300-($O28*800))*(VLOOKUP(ROUND(((($D$3+$D$4)/2)-$D$5),2),FAKT_C109,2,-1))+'BASE-FAN125-EC65-5'!D$2*$O28*(VLOOKUP(ROUND(((($D$3+$D$4)/2)-$D$5),3),FAKT_C109,3,-1)),0)</f>
        <v>6058</v>
      </c>
      <c r="H28" s="252">
        <f>ROUND('BASE-FAN125-EC65-5'!E$3*($B28-300-($O28*800))*(VLOOKUP(ROUND(((($D$3+$D$4)/2)-$D$5),2),FAKT_C109,2,-1))+'BASE-FAN125-EC65-5'!E$2*$O28*(VLOOKUP(ROUND(((($D$3+$D$4)/2)-$D$5),3),FAKT_C109,3,-1)),0)</f>
        <v>4991</v>
      </c>
      <c r="I28" s="244">
        <f>ROUND('BASE-FAN125-EC65-5'!F$3*($B28-300-($O28*800))*(VLOOKUP(ROUND(((($D$3+$D$4)/2)-$D$5),2),FAKT_C109,2,-1))+'BASE-FAN125-EC65-5'!F$2*$O28*(VLOOKUP(ROUND(((($D$3+$D$4)/2)-$D$5),3),FAKT_C109,3,-1)),0)</f>
        <v>6101</v>
      </c>
      <c r="J28" s="245">
        <f>ROUND('BASE-FAN125-EC65-5'!G$3*($B28-300-($O28*800))*(VLOOKUP(ROUND(((($D$3+$D$4)/2)-$D$5),2),FAKT_C109,2,-1))+'BASE-FAN125-EC65-5'!G$2*$O28*(VLOOKUP(ROUND(((($D$3+$D$4)/2)-$D$5),3),FAKT_C109,3,-1)),0)</f>
        <v>6548</v>
      </c>
      <c r="K28" s="161"/>
      <c r="L28" s="161"/>
      <c r="M28" s="161"/>
      <c r="O28" s="454">
        <v>3</v>
      </c>
    </row>
    <row r="29" spans="2:15" x14ac:dyDescent="0.2">
      <c r="B29" s="437"/>
      <c r="C29" s="438"/>
      <c r="D29" s="440"/>
      <c r="E29" s="254">
        <f t="shared" ref="E29:J29" si="5">ROUNDDOWN(E28/(1.161*($D$3-$D$4)),0)</f>
        <v>368</v>
      </c>
      <c r="F29" s="247">
        <f t="shared" si="5"/>
        <v>464</v>
      </c>
      <c r="G29" s="248">
        <f t="shared" si="5"/>
        <v>521</v>
      </c>
      <c r="H29" s="254">
        <f t="shared" si="5"/>
        <v>429</v>
      </c>
      <c r="I29" s="247">
        <f t="shared" si="5"/>
        <v>525</v>
      </c>
      <c r="J29" s="248">
        <f t="shared" si="5"/>
        <v>563</v>
      </c>
      <c r="K29" s="162"/>
      <c r="L29" s="162"/>
      <c r="M29" s="162"/>
      <c r="O29" s="454"/>
    </row>
    <row r="30" spans="2:15" x14ac:dyDescent="0.2">
      <c r="B30" s="148"/>
      <c r="C30" s="148"/>
    </row>
    <row r="31" spans="2:15" x14ac:dyDescent="0.2">
      <c r="B31" s="141" t="str">
        <f>VLOOKUP(36,TXT,$F$3,0)</f>
        <v>Angabe in Watt  pro Bodenkonvektor-Länge L [mm]</v>
      </c>
      <c r="J31" s="121" t="str">
        <f>VLOOKUP(16,TXT,$F$3,0)</f>
        <v>Wärmeleistungen in Anlehnung an EN 442-2</v>
      </c>
    </row>
    <row r="32" spans="2:15" x14ac:dyDescent="0.2">
      <c r="B32" s="141" t="str">
        <f>VLOOKUP(59,TXT,$F$3,0)</f>
        <v>Bei Sonderkonstruktionen dient die Leistungstabelle als Richtwert</v>
      </c>
    </row>
    <row r="33" spans="2:7" x14ac:dyDescent="0.2">
      <c r="B33" s="141" t="str">
        <f>VLOOKUP(90,TXT,$F$3,0)</f>
        <v>Leistungsdaten mit Abdeckung, Rollrost Typ 941-17-B (f.Q. 70%)</v>
      </c>
    </row>
    <row r="34" spans="2:7" x14ac:dyDescent="0.2">
      <c r="B34" s="120" t="str">
        <f>CONCATENATE("(*) ",VLOOKUP(29,TXT,$F$3,0))</f>
        <v>(*) Minimale Wassermassenströme von ca. 20 kg/h sollen eingehalten werden</v>
      </c>
      <c r="G34" s="120"/>
    </row>
    <row r="35" spans="2:7" x14ac:dyDescent="0.2">
      <c r="B35" s="141" t="str">
        <f>CONCATENATE("(*) ",VLOOKUP(95,TXT,$F$3,0))</f>
        <v>(*) Massenstrom rechnerisch ermittelt, allfäliger Projektabgleich machen</v>
      </c>
      <c r="G35" s="120"/>
    </row>
    <row r="36" spans="2:7" x14ac:dyDescent="0.2">
      <c r="G36" s="120"/>
    </row>
    <row r="37" spans="2:7" x14ac:dyDescent="0.2"/>
    <row r="38" spans="2:7" x14ac:dyDescent="0.2">
      <c r="B38" s="249" t="s">
        <v>1357</v>
      </c>
      <c r="C38" s="250"/>
      <c r="D38" s="251" t="str">
        <f>VLOOKUP(31,TXT,$F$3,0)</f>
        <v>Gesamtlänge Bodenkonvektor</v>
      </c>
      <c r="E38" s="250"/>
      <c r="F38" s="250"/>
    </row>
    <row r="39" spans="2:7" x14ac:dyDescent="0.2">
      <c r="B39" s="249" t="s">
        <v>1358</v>
      </c>
      <c r="C39" s="250"/>
      <c r="D39" s="251" t="str">
        <f>VLOOKUP(32,TXT,$F$3,0)</f>
        <v>Breite Bodenkonvektor</v>
      </c>
      <c r="E39" s="250"/>
      <c r="F39" s="250"/>
    </row>
    <row r="40" spans="2:7" x14ac:dyDescent="0.2">
      <c r="B40" s="249" t="s">
        <v>1359</v>
      </c>
      <c r="C40" s="250"/>
      <c r="D40" s="251" t="str">
        <f>VLOOKUP(33,TXT,$F$3,0)</f>
        <v>Höhe Bodenkonvektor</v>
      </c>
      <c r="E40" s="250"/>
      <c r="F40" s="250"/>
    </row>
    <row r="41" spans="2:7" x14ac:dyDescent="0.2">
      <c r="B41" s="249" t="s">
        <v>1360</v>
      </c>
      <c r="C41" s="250"/>
      <c r="D41" s="251" t="str">
        <f>VLOOKUP(60,TXT,$F$3,0)</f>
        <v>Querstromventilator Walzen</v>
      </c>
      <c r="E41" s="250"/>
      <c r="F41" s="250"/>
    </row>
    <row r="42" spans="2:7" x14ac:dyDescent="0.2">
      <c r="B42" s="249" t="s">
        <v>1361</v>
      </c>
      <c r="C42" s="250"/>
      <c r="D42" s="251" t="str">
        <f>VLOOKUP(34,TXT,$F$3,0)</f>
        <v>Motor</v>
      </c>
      <c r="E42" s="250"/>
      <c r="F42" s="250"/>
    </row>
    <row r="43" spans="2:7" x14ac:dyDescent="0.2"/>
    <row r="44" spans="2:7" x14ac:dyDescent="0.2"/>
    <row r="45" spans="2:7" x14ac:dyDescent="0.2">
      <c r="B45" s="141" t="str">
        <f>VLOOKUP(39,TXT,$F$3,0)</f>
        <v>Die Zwischenlängen werden durch Leerstücke angepasst.</v>
      </c>
    </row>
    <row r="46" spans="2:7" x14ac:dyDescent="0.2"/>
    <row r="47" spans="2:7" x14ac:dyDescent="0.2"/>
    <row r="48" spans="2:7" x14ac:dyDescent="0.2"/>
    <row r="49" spans="10:10" x14ac:dyDescent="0.2"/>
    <row r="50" spans="10:10" x14ac:dyDescent="0.2"/>
    <row r="51" spans="10:10" x14ac:dyDescent="0.2"/>
    <row r="52" spans="10:10" x14ac:dyDescent="0.2"/>
    <row r="53" spans="10:10" x14ac:dyDescent="0.2"/>
    <row r="54" spans="10:10" x14ac:dyDescent="0.2">
      <c r="J54" s="142" t="str">
        <f>VLOOKUP(40,TXT,$F$3,0)</f>
        <v>Erweiterung des Bodenkanals um ein Regulierungsmodul zu integrieren</v>
      </c>
    </row>
    <row r="55" spans="10:10" x14ac:dyDescent="0.2"/>
    <row r="56" spans="10:10" x14ac:dyDescent="0.2">
      <c r="J56" s="143" t="s">
        <v>1050</v>
      </c>
    </row>
    <row r="57" spans="10:10" x14ac:dyDescent="0.2"/>
  </sheetData>
  <sheetProtection algorithmName="SHA-512" hashValue="x/kYpa7RGYzALNpIKoeIjdhstAzFgYJamqBAeYy4HIdV/FTl+zmOShhFicxyjP7QfiGy4A/0e5a61M8zUj1k7g==" saltValue="MEvwSNDV03dqS3YY5UllqA==" spinCount="100000" sheet="1" objects="1" scenarios="1" selectLockedCells="1"/>
  <protectedRanges>
    <protectedRange sqref="G3:G5 F4:F5" name="Bereich1_1"/>
  </protectedRanges>
  <mergeCells count="46">
    <mergeCell ref="B14:D14"/>
    <mergeCell ref="E14:G14"/>
    <mergeCell ref="H14:J14"/>
    <mergeCell ref="I10:J10"/>
    <mergeCell ref="H12:J12"/>
    <mergeCell ref="B13:D13"/>
    <mergeCell ref="E13:G13"/>
    <mergeCell ref="H13:J13"/>
    <mergeCell ref="O18:O19"/>
    <mergeCell ref="B20:C21"/>
    <mergeCell ref="D20:D21"/>
    <mergeCell ref="O20:O21"/>
    <mergeCell ref="B17:C17"/>
    <mergeCell ref="E17:G17"/>
    <mergeCell ref="H17:J17"/>
    <mergeCell ref="O26:O27"/>
    <mergeCell ref="B28:C29"/>
    <mergeCell ref="D28:D29"/>
    <mergeCell ref="O28:O29"/>
    <mergeCell ref="B22:C23"/>
    <mergeCell ref="D22:D23"/>
    <mergeCell ref="O22:O23"/>
    <mergeCell ref="B24:C25"/>
    <mergeCell ref="D24:D25"/>
    <mergeCell ref="O24:O25"/>
    <mergeCell ref="B5:C5"/>
    <mergeCell ref="D5:E5"/>
    <mergeCell ref="F3:F5"/>
    <mergeCell ref="B26:C27"/>
    <mergeCell ref="D26:D27"/>
    <mergeCell ref="B18:C19"/>
    <mergeCell ref="D18:D19"/>
    <mergeCell ref="B12:D12"/>
    <mergeCell ref="E12:G12"/>
    <mergeCell ref="E15:G15"/>
    <mergeCell ref="B7:J7"/>
    <mergeCell ref="B8:J8"/>
    <mergeCell ref="H15:J15"/>
    <mergeCell ref="B10:C10"/>
    <mergeCell ref="D10:F10"/>
    <mergeCell ref="G10:H10"/>
    <mergeCell ref="D2:E2"/>
    <mergeCell ref="B3:C3"/>
    <mergeCell ref="D3:E3"/>
    <mergeCell ref="B4:C4"/>
    <mergeCell ref="D4:E4"/>
  </mergeCells>
  <conditionalFormatting sqref="D3:D5">
    <cfRule type="expression" dxfId="206" priority="2">
      <formula>$J$3&lt;&gt;""</formula>
    </cfRule>
  </conditionalFormatting>
  <conditionalFormatting sqref="D3:E5">
    <cfRule type="expression" dxfId="205" priority="1">
      <formula>$H$4&lt;&gt;""</formula>
    </cfRule>
  </conditionalFormatting>
  <conditionalFormatting sqref="E18:M18">
    <cfRule type="expression" dxfId="204" priority="102" stopIfTrue="1">
      <formula>E19&lt;20</formula>
    </cfRule>
  </conditionalFormatting>
  <conditionalFormatting sqref="E20:M20">
    <cfRule type="expression" dxfId="203" priority="84" stopIfTrue="1">
      <formula>E21&lt;20</formula>
    </cfRule>
  </conditionalFormatting>
  <conditionalFormatting sqref="E22:M22">
    <cfRule type="expression" dxfId="202" priority="21" stopIfTrue="1">
      <formula>E23&lt;20</formula>
    </cfRule>
  </conditionalFormatting>
  <conditionalFormatting sqref="E24:M24">
    <cfRule type="expression" dxfId="201" priority="9" stopIfTrue="1">
      <formula>E25&lt;20</formula>
    </cfRule>
  </conditionalFormatting>
  <conditionalFormatting sqref="E26:M26">
    <cfRule type="expression" dxfId="200" priority="15" stopIfTrue="1">
      <formula>E27&lt;20</formula>
    </cfRule>
  </conditionalFormatting>
  <conditionalFormatting sqref="E28:M28">
    <cfRule type="expression" dxfId="199" priority="3" stopIfTrue="1">
      <formula>E29&lt;20</formula>
    </cfRule>
  </conditionalFormatting>
  <dataValidations count="5">
    <dataValidation allowBlank="1" showDropDown="1" showInputMessage="1" showErrorMessage="1" sqref="O18 O20 O22 O24 O26 O28 D18 D20 D22 D24 D26 D28" xr:uid="{2DACE85E-017A-474D-95A8-77B058D7A151}"/>
    <dataValidation type="whole" allowBlank="1" showInputMessage="1" showErrorMessage="1" sqref="D3:E3" xr:uid="{E12F6FAE-19DC-49FB-B493-704C9DD1DF99}">
      <formula1>30</formula1>
      <formula2>90</formula2>
    </dataValidation>
    <dataValidation type="whole" allowBlank="1" showInputMessage="1" showErrorMessage="1" sqref="D4:E4" xr:uid="{D777B43B-523C-4A57-80FF-B881CCC73203}">
      <formula1>25</formula1>
      <formula2>85</formula2>
    </dataValidation>
    <dataValidation type="whole" allowBlank="1" showInputMessage="1" showErrorMessage="1" sqref="D5:E5" xr:uid="{26928E5D-E935-401F-A1BB-2B3521296323}">
      <formula1>15</formula1>
      <formula2>29</formula2>
    </dataValidation>
    <dataValidation type="whole" allowBlank="1" showInputMessage="1" showErrorMessage="1" sqref="F3:F5" xr:uid="{15AF5278-ED7A-457B-A926-1E0FD910A987}">
      <formula1>2</formula1>
      <formula2>3</formula2>
    </dataValidation>
  </dataValidations>
  <pageMargins left="0.59055118110236227" right="0.39370078740157483" top="1.1811023622047245" bottom="0.98425196850393704" header="0.31496062992125984" footer="0.51181102362204722"/>
  <pageSetup paperSize="9" orientation="portrait" r:id="rId1"/>
  <headerFooter alignWithMargins="0">
    <oddHeader>&amp;C&amp;G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1" id="{AFC3F4CD-EB25-4CE3-B538-C554D7128F8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E19</xm:sqref>
        </x14:conditionalFormatting>
        <x14:conditionalFormatting xmlns:xm="http://schemas.microsoft.com/office/excel/2006/main">
          <x14:cfRule type="iconSet" priority="83" id="{976E7F84-140E-4BA7-97EB-D6642A25367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E21</xm:sqref>
        </x14:conditionalFormatting>
        <x14:conditionalFormatting xmlns:xm="http://schemas.microsoft.com/office/excel/2006/main">
          <x14:cfRule type="iconSet" priority="71" id="{C57AEEBB-0A9E-4A4C-AD97-97C5D27E375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E23</xm:sqref>
        </x14:conditionalFormatting>
        <x14:conditionalFormatting xmlns:xm="http://schemas.microsoft.com/office/excel/2006/main">
          <x14:cfRule type="iconSet" priority="59" id="{673DDAAB-CE95-445A-8A99-4352B61E9B7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E25</xm:sqref>
        </x14:conditionalFormatting>
        <x14:conditionalFormatting xmlns:xm="http://schemas.microsoft.com/office/excel/2006/main">
          <x14:cfRule type="iconSet" priority="47" id="{808C3D73-2901-45B5-96E5-00B48B2F695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E27</xm:sqref>
        </x14:conditionalFormatting>
        <x14:conditionalFormatting xmlns:xm="http://schemas.microsoft.com/office/excel/2006/main">
          <x14:cfRule type="iconSet" priority="35" id="{1C70A1F7-D3F1-4675-99D5-2E37C8F1146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E29</xm:sqref>
        </x14:conditionalFormatting>
        <x14:conditionalFormatting xmlns:xm="http://schemas.microsoft.com/office/excel/2006/main">
          <x14:cfRule type="iconSet" priority="100" id="{2B21AAD0-F6ED-4A49-840B-E44EF691490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F19</xm:sqref>
        </x14:conditionalFormatting>
        <x14:conditionalFormatting xmlns:xm="http://schemas.microsoft.com/office/excel/2006/main">
          <x14:cfRule type="iconSet" priority="82" id="{262EF1F3-EFEB-4CA0-80B9-AE98DD25C75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F21</xm:sqref>
        </x14:conditionalFormatting>
        <x14:conditionalFormatting xmlns:xm="http://schemas.microsoft.com/office/excel/2006/main">
          <x14:cfRule type="iconSet" priority="70" id="{7D572688-C940-427A-A84F-6B5EF9E84E9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F23</xm:sqref>
        </x14:conditionalFormatting>
        <x14:conditionalFormatting xmlns:xm="http://schemas.microsoft.com/office/excel/2006/main">
          <x14:cfRule type="iconSet" priority="58" id="{7291590A-6BB8-4024-9A91-431348942D8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F25</xm:sqref>
        </x14:conditionalFormatting>
        <x14:conditionalFormatting xmlns:xm="http://schemas.microsoft.com/office/excel/2006/main">
          <x14:cfRule type="iconSet" priority="46" id="{6522A8FB-2293-483F-BFBA-9477EBE4932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F27</xm:sqref>
        </x14:conditionalFormatting>
        <x14:conditionalFormatting xmlns:xm="http://schemas.microsoft.com/office/excel/2006/main">
          <x14:cfRule type="iconSet" priority="34" id="{CFD8636D-84D7-46E5-8435-80E207E0207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F29</xm:sqref>
        </x14:conditionalFormatting>
        <x14:conditionalFormatting xmlns:xm="http://schemas.microsoft.com/office/excel/2006/main">
          <x14:cfRule type="iconSet" priority="99" id="{5CF920FD-8C3B-46A5-A88C-D6D5A702811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81" id="{99037A37-9F2F-4706-8FA9-C765595AB22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G21</xm:sqref>
        </x14:conditionalFormatting>
        <x14:conditionalFormatting xmlns:xm="http://schemas.microsoft.com/office/excel/2006/main">
          <x14:cfRule type="iconSet" priority="69" id="{CEDB46FC-1B65-46D6-803D-59B58202F45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G23</xm:sqref>
        </x14:conditionalFormatting>
        <x14:conditionalFormatting xmlns:xm="http://schemas.microsoft.com/office/excel/2006/main">
          <x14:cfRule type="iconSet" priority="57" id="{DA529881-1B34-4927-BB23-93F1EE3D6DF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G25</xm:sqref>
        </x14:conditionalFormatting>
        <x14:conditionalFormatting xmlns:xm="http://schemas.microsoft.com/office/excel/2006/main">
          <x14:cfRule type="iconSet" priority="45" id="{6B35502C-07A6-4E56-BE8F-010FC4C0EAF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G27</xm:sqref>
        </x14:conditionalFormatting>
        <x14:conditionalFormatting xmlns:xm="http://schemas.microsoft.com/office/excel/2006/main">
          <x14:cfRule type="iconSet" priority="33" id="{979F2F81-FA44-44A5-8C08-97F098DD149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G29</xm:sqref>
        </x14:conditionalFormatting>
        <x14:conditionalFormatting xmlns:xm="http://schemas.microsoft.com/office/excel/2006/main">
          <x14:cfRule type="iconSet" priority="98" id="{14ADD183-03CF-46F5-B888-1D1C0161BDF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H19</xm:sqref>
        </x14:conditionalFormatting>
        <x14:conditionalFormatting xmlns:xm="http://schemas.microsoft.com/office/excel/2006/main">
          <x14:cfRule type="iconSet" priority="80" id="{55B59C3D-952C-47C2-A7D4-0907DFBD0AE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H21</xm:sqref>
        </x14:conditionalFormatting>
        <x14:conditionalFormatting xmlns:xm="http://schemas.microsoft.com/office/excel/2006/main">
          <x14:cfRule type="iconSet" priority="68" id="{A20000B7-7CCB-42C6-BFBC-DFBC02D6E6C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H23</xm:sqref>
        </x14:conditionalFormatting>
        <x14:conditionalFormatting xmlns:xm="http://schemas.microsoft.com/office/excel/2006/main">
          <x14:cfRule type="iconSet" priority="56" id="{E68A2A72-E619-49B9-B719-1193619760A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H25</xm:sqref>
        </x14:conditionalFormatting>
        <x14:conditionalFormatting xmlns:xm="http://schemas.microsoft.com/office/excel/2006/main">
          <x14:cfRule type="iconSet" priority="44" id="{C02FB106-9D0A-4023-A997-692E2EDAE0F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H27</xm:sqref>
        </x14:conditionalFormatting>
        <x14:conditionalFormatting xmlns:xm="http://schemas.microsoft.com/office/excel/2006/main">
          <x14:cfRule type="iconSet" priority="32" id="{8D0BF0A6-32E0-466B-8780-09150442D6A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H29</xm:sqref>
        </x14:conditionalFormatting>
        <x14:conditionalFormatting xmlns:xm="http://schemas.microsoft.com/office/excel/2006/main">
          <x14:cfRule type="iconSet" priority="97" id="{6BC7C28D-227B-4B96-A898-7FC99B6BC35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I19</xm:sqref>
        </x14:conditionalFormatting>
        <x14:conditionalFormatting xmlns:xm="http://schemas.microsoft.com/office/excel/2006/main">
          <x14:cfRule type="iconSet" priority="79" id="{6E7AAA19-4F30-4828-84D4-E91123F3E11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I21</xm:sqref>
        </x14:conditionalFormatting>
        <x14:conditionalFormatting xmlns:xm="http://schemas.microsoft.com/office/excel/2006/main">
          <x14:cfRule type="iconSet" priority="67" id="{D9F2114B-FFE2-442F-890E-2D8AACE5B36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I23</xm:sqref>
        </x14:conditionalFormatting>
        <x14:conditionalFormatting xmlns:xm="http://schemas.microsoft.com/office/excel/2006/main">
          <x14:cfRule type="iconSet" priority="55" id="{42369AAF-40DB-45F7-9D1C-40536689C39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I25</xm:sqref>
        </x14:conditionalFormatting>
        <x14:conditionalFormatting xmlns:xm="http://schemas.microsoft.com/office/excel/2006/main">
          <x14:cfRule type="iconSet" priority="43" id="{0062E1FC-1A69-4FDC-A902-2766C03900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I27</xm:sqref>
        </x14:conditionalFormatting>
        <x14:conditionalFormatting xmlns:xm="http://schemas.microsoft.com/office/excel/2006/main">
          <x14:cfRule type="iconSet" priority="31" id="{73C4E8C5-4FD3-4174-ADBA-54F4E427786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I29</xm:sqref>
        </x14:conditionalFormatting>
        <x14:conditionalFormatting xmlns:xm="http://schemas.microsoft.com/office/excel/2006/main">
          <x14:cfRule type="iconSet" priority="96" id="{E4DB323B-FC71-4FD4-804E-10FB0908204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J19</xm:sqref>
        </x14:conditionalFormatting>
        <x14:conditionalFormatting xmlns:xm="http://schemas.microsoft.com/office/excel/2006/main">
          <x14:cfRule type="iconSet" priority="78" id="{AFF71D01-5759-4157-B1EC-2A74823A609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J21</xm:sqref>
        </x14:conditionalFormatting>
        <x14:conditionalFormatting xmlns:xm="http://schemas.microsoft.com/office/excel/2006/main">
          <x14:cfRule type="iconSet" priority="66" id="{13B3DBFC-5DAD-4735-B5E0-D0217375D43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J23</xm:sqref>
        </x14:conditionalFormatting>
        <x14:conditionalFormatting xmlns:xm="http://schemas.microsoft.com/office/excel/2006/main">
          <x14:cfRule type="iconSet" priority="54" id="{3D6100A3-7AE0-468B-908E-1FD1608ED4B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J25</xm:sqref>
        </x14:conditionalFormatting>
        <x14:conditionalFormatting xmlns:xm="http://schemas.microsoft.com/office/excel/2006/main">
          <x14:cfRule type="iconSet" priority="42" id="{8BC8F14A-5F6D-4235-9417-80D2674B5E1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J27</xm:sqref>
        </x14:conditionalFormatting>
        <x14:conditionalFormatting xmlns:xm="http://schemas.microsoft.com/office/excel/2006/main">
          <x14:cfRule type="iconSet" priority="30" id="{1DA37818-CADE-43EC-BAED-FC11CB3DE11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J29</xm:sqref>
        </x14:conditionalFormatting>
        <x14:conditionalFormatting xmlns:xm="http://schemas.microsoft.com/office/excel/2006/main">
          <x14:cfRule type="iconSet" priority="95" id="{76376984-4225-46E7-B1ED-2F33336F8EF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K19</xm:sqref>
        </x14:conditionalFormatting>
        <x14:conditionalFormatting xmlns:xm="http://schemas.microsoft.com/office/excel/2006/main">
          <x14:cfRule type="iconSet" priority="77" id="{BEDE8B80-3EC2-483F-9556-DE824DF7D3D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K21</xm:sqref>
        </x14:conditionalFormatting>
        <x14:conditionalFormatting xmlns:xm="http://schemas.microsoft.com/office/excel/2006/main">
          <x14:cfRule type="iconSet" priority="65" id="{A818DDD3-A5D4-4352-A449-8EE082C8A7F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K23</xm:sqref>
        </x14:conditionalFormatting>
        <x14:conditionalFormatting xmlns:xm="http://schemas.microsoft.com/office/excel/2006/main">
          <x14:cfRule type="iconSet" priority="53" id="{E6CC2DD7-DF06-4BE1-B7B4-84FF66A9BE9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41" id="{406D3CD1-FEB7-4F6F-A231-E6984E37450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K27</xm:sqref>
        </x14:conditionalFormatting>
        <x14:conditionalFormatting xmlns:xm="http://schemas.microsoft.com/office/excel/2006/main">
          <x14:cfRule type="iconSet" priority="29" id="{C699FDF0-4280-4685-94F1-605AFAB717E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K29</xm:sqref>
        </x14:conditionalFormatting>
        <x14:conditionalFormatting xmlns:xm="http://schemas.microsoft.com/office/excel/2006/main">
          <x14:cfRule type="iconSet" priority="94" id="{33C88DE3-4BA6-4CB2-A265-6C7CE7FB7DC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L19</xm:sqref>
        </x14:conditionalFormatting>
        <x14:conditionalFormatting xmlns:xm="http://schemas.microsoft.com/office/excel/2006/main">
          <x14:cfRule type="iconSet" priority="76" id="{B70D9547-DAD2-4062-866A-C18160A20DC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L21</xm:sqref>
        </x14:conditionalFormatting>
        <x14:conditionalFormatting xmlns:xm="http://schemas.microsoft.com/office/excel/2006/main">
          <x14:cfRule type="iconSet" priority="64" id="{AB414E4F-119B-4586-97D3-84F365095D6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L23</xm:sqref>
        </x14:conditionalFormatting>
        <x14:conditionalFormatting xmlns:xm="http://schemas.microsoft.com/office/excel/2006/main">
          <x14:cfRule type="iconSet" priority="52" id="{95BFD84D-DCFB-4221-8810-F2D5C2CEA36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L25</xm:sqref>
        </x14:conditionalFormatting>
        <x14:conditionalFormatting xmlns:xm="http://schemas.microsoft.com/office/excel/2006/main">
          <x14:cfRule type="iconSet" priority="40" id="{D50464E7-1317-4FE4-8600-A1F09A359D2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L27</xm:sqref>
        </x14:conditionalFormatting>
        <x14:conditionalFormatting xmlns:xm="http://schemas.microsoft.com/office/excel/2006/main">
          <x14:cfRule type="iconSet" priority="28" id="{60321154-DC2B-4CFB-8B42-8B298FEBCA6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L29</xm:sqref>
        </x14:conditionalFormatting>
        <x14:conditionalFormatting xmlns:xm="http://schemas.microsoft.com/office/excel/2006/main">
          <x14:cfRule type="iconSet" priority="93" id="{83FC0909-9D46-470C-B636-B157DA0E76E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M19</xm:sqref>
        </x14:conditionalFormatting>
        <x14:conditionalFormatting xmlns:xm="http://schemas.microsoft.com/office/excel/2006/main">
          <x14:cfRule type="iconSet" priority="75" id="{16F1012B-6CE8-463C-894E-0B11F3EEEF0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M21</xm:sqref>
        </x14:conditionalFormatting>
        <x14:conditionalFormatting xmlns:xm="http://schemas.microsoft.com/office/excel/2006/main">
          <x14:cfRule type="iconSet" priority="63" id="{7E7F7B26-5EB1-4227-9B5F-E3E6EBF7598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M23</xm:sqref>
        </x14:conditionalFormatting>
        <x14:conditionalFormatting xmlns:xm="http://schemas.microsoft.com/office/excel/2006/main">
          <x14:cfRule type="iconSet" priority="51" id="{6D9812D6-778D-4635-AAA7-241FFB3045F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M25</xm:sqref>
        </x14:conditionalFormatting>
        <x14:conditionalFormatting xmlns:xm="http://schemas.microsoft.com/office/excel/2006/main">
          <x14:cfRule type="iconSet" priority="39" id="{9F99982A-DC19-4195-9CE2-B3AD328CD2F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M27</xm:sqref>
        </x14:conditionalFormatting>
        <x14:conditionalFormatting xmlns:xm="http://schemas.microsoft.com/office/excel/2006/main">
          <x14:cfRule type="iconSet" priority="27" id="{964B3F7D-767F-4335-A5B5-09DFFDCC922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M29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6DB1F-58DD-4F9B-8C7A-3F83FE171934}">
  <dimension ref="A1:K5"/>
  <sheetViews>
    <sheetView workbookViewId="0">
      <selection activeCell="F3" sqref="F3:G3"/>
    </sheetView>
  </sheetViews>
  <sheetFormatPr baseColWidth="10" defaultRowHeight="12.75" x14ac:dyDescent="0.2"/>
  <cols>
    <col min="1" max="16384" width="11.42578125" style="101"/>
  </cols>
  <sheetData>
    <row r="1" spans="1:11" x14ac:dyDescent="0.2">
      <c r="B1" s="101" t="s">
        <v>1372</v>
      </c>
      <c r="C1" s="101" t="s">
        <v>1373</v>
      </c>
      <c r="D1" s="101" t="s">
        <v>1374</v>
      </c>
      <c r="E1" s="101" t="s">
        <v>1375</v>
      </c>
      <c r="F1" s="101" t="s">
        <v>1376</v>
      </c>
      <c r="G1" s="101" t="s">
        <v>1377</v>
      </c>
      <c r="H1" s="101" t="s">
        <v>1378</v>
      </c>
      <c r="I1" s="101" t="s">
        <v>1379</v>
      </c>
      <c r="J1" s="101" t="s">
        <v>1380</v>
      </c>
      <c r="K1" s="101" t="s">
        <v>1082</v>
      </c>
    </row>
    <row r="2" spans="1:11" x14ac:dyDescent="0.2">
      <c r="A2" s="101" t="s">
        <v>1197</v>
      </c>
      <c r="B2" s="101">
        <v>1410</v>
      </c>
      <c r="C2" s="101">
        <v>1782</v>
      </c>
      <c r="D2" s="101">
        <v>2003</v>
      </c>
      <c r="E2" s="101">
        <v>1640</v>
      </c>
      <c r="F2" s="101">
        <v>2010</v>
      </c>
      <c r="G2" s="101">
        <v>2159</v>
      </c>
      <c r="H2" s="101">
        <v>1730</v>
      </c>
      <c r="I2" s="101">
        <v>2189</v>
      </c>
      <c r="J2" s="101">
        <v>2308</v>
      </c>
      <c r="K2" s="101" t="s">
        <v>1198</v>
      </c>
    </row>
    <row r="3" spans="1:11" x14ac:dyDescent="0.2">
      <c r="A3" s="124" t="s">
        <v>1199</v>
      </c>
      <c r="B3" s="101">
        <v>0.24399999999999999</v>
      </c>
      <c r="C3" s="101">
        <v>0.24399999999999999</v>
      </c>
      <c r="D3" s="101">
        <v>0.24399999999999999</v>
      </c>
      <c r="E3" s="101">
        <v>0.35699999999999998</v>
      </c>
      <c r="F3" s="101">
        <v>0.35699999999999998</v>
      </c>
      <c r="G3" s="101">
        <v>0.35699999999999998</v>
      </c>
      <c r="H3" s="101">
        <v>0.40100000000000002</v>
      </c>
      <c r="I3" s="101">
        <v>0.40100000000000002</v>
      </c>
      <c r="J3" s="101">
        <v>0.40100000000000002</v>
      </c>
      <c r="K3" s="101" t="s">
        <v>1198</v>
      </c>
    </row>
    <row r="5" spans="1:11" x14ac:dyDescent="0.2">
      <c r="A5" s="124" t="s">
        <v>1369</v>
      </c>
      <c r="B5" s="125">
        <v>43784</v>
      </c>
      <c r="C5" s="125">
        <v>43784</v>
      </c>
      <c r="D5" s="125">
        <v>43784</v>
      </c>
      <c r="E5" s="125">
        <v>43784</v>
      </c>
      <c r="F5" s="125">
        <v>43784</v>
      </c>
      <c r="G5" s="125">
        <v>43784</v>
      </c>
    </row>
  </sheetData>
  <pageMargins left="0.78740157499999996" right="0.78740157499999996" top="0.984251969" bottom="0.984251969" header="0.4921259845" footer="0.492125984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24F06-3B41-46EB-8A31-3E57C3257616}">
  <dimension ref="A1:R57"/>
  <sheetViews>
    <sheetView showGridLines="0" showRowColHeaders="0" workbookViewId="0">
      <selection activeCell="G3" sqref="G3:H3"/>
    </sheetView>
  </sheetViews>
  <sheetFormatPr baseColWidth="10" defaultColWidth="0" defaultRowHeight="12.75" zeroHeight="1" x14ac:dyDescent="0.2"/>
  <cols>
    <col min="1" max="1" width="2.7109375" style="101" customWidth="1"/>
    <col min="2" max="2" width="4.42578125" style="101" customWidth="1"/>
    <col min="3" max="3" width="5.7109375" style="140" customWidth="1"/>
    <col min="4" max="4" width="7.7109375" style="140" customWidth="1"/>
    <col min="5" max="10" width="8.28515625" style="140" customWidth="1"/>
    <col min="11" max="13" width="8.28515625" style="101" customWidth="1"/>
    <col min="14" max="14" width="2.7109375" style="101" customWidth="1"/>
    <col min="15" max="16" width="6.7109375" style="101" hidden="1" customWidth="1"/>
    <col min="17" max="17" width="11.42578125" style="101" hidden="1" customWidth="1"/>
    <col min="18" max="18" width="11.5703125" style="101" hidden="1" customWidth="1"/>
    <col min="19" max="16384" width="11.42578125" style="101" hidden="1"/>
  </cols>
  <sheetData>
    <row r="1" spans="2:16" x14ac:dyDescent="0.2"/>
    <row r="2" spans="2:16" ht="15" x14ac:dyDescent="0.25">
      <c r="B2"/>
      <c r="C2" s="101"/>
      <c r="D2" s="471" t="s">
        <v>936</v>
      </c>
      <c r="E2" s="472"/>
      <c r="F2" s="473" t="s">
        <v>938</v>
      </c>
      <c r="G2" s="474"/>
      <c r="H2" s="101"/>
    </row>
    <row r="3" spans="2:16" ht="23.25" x14ac:dyDescent="0.35">
      <c r="B3" s="453" t="s">
        <v>933</v>
      </c>
      <c r="C3" s="453"/>
      <c r="D3" s="431">
        <v>75</v>
      </c>
      <c r="E3" s="431"/>
      <c r="F3" s="432">
        <v>2</v>
      </c>
      <c r="G3" s="432"/>
      <c r="H3" s="101"/>
    </row>
    <row r="4" spans="2:16" ht="23.25" x14ac:dyDescent="0.35">
      <c r="B4" s="453" t="s">
        <v>934</v>
      </c>
      <c r="C4" s="453"/>
      <c r="D4" s="431">
        <v>65</v>
      </c>
      <c r="E4" s="431"/>
      <c r="F4" s="432"/>
      <c r="G4" s="432"/>
      <c r="H4" s="101"/>
      <c r="I4" s="287" t="str">
        <f>IF(OR((D3-D4)&lt;3,(D4-D5)&lt;3,(D3-D4)&gt;25,D5&lt;15,ISERROR(E18)),"Bitte überprüfen Sie ihre Eingaben!","")</f>
        <v/>
      </c>
    </row>
    <row r="5" spans="2:16" ht="23.25" x14ac:dyDescent="0.35">
      <c r="B5" s="453" t="s">
        <v>935</v>
      </c>
      <c r="C5" s="453"/>
      <c r="D5" s="431">
        <v>20</v>
      </c>
      <c r="E5" s="431"/>
      <c r="F5" s="432"/>
      <c r="G5" s="432"/>
      <c r="H5" s="101"/>
    </row>
    <row r="6" spans="2:16" x14ac:dyDescent="0.2"/>
    <row r="7" spans="2:16" s="102" customFormat="1" ht="24.75" customHeight="1" x14ac:dyDescent="0.3">
      <c r="B7" s="461" t="str">
        <f>VLOOKUP(35,TXT,$F$3,0)</f>
        <v>Bodenkonvektor Modell FAN-109</v>
      </c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149"/>
      <c r="O7" s="149"/>
      <c r="P7" s="149"/>
    </row>
    <row r="8" spans="2:16" s="102" customFormat="1" ht="22.5" customHeight="1" x14ac:dyDescent="0.2">
      <c r="B8" s="462" t="str">
        <f>VLOOKUP(37,TXT,$F$3,0)</f>
        <v>mit 3-stufigen Querstromventilatoren AC45  230V / 50Hz</v>
      </c>
      <c r="C8" s="462"/>
      <c r="D8" s="462"/>
      <c r="E8" s="462"/>
      <c r="F8" s="462"/>
      <c r="G8" s="462"/>
      <c r="H8" s="462"/>
      <c r="I8" s="462"/>
      <c r="J8" s="462"/>
      <c r="K8" s="462"/>
      <c r="L8" s="462"/>
      <c r="M8" s="462"/>
      <c r="N8" s="150"/>
      <c r="O8" s="150"/>
      <c r="P8" s="150"/>
    </row>
    <row r="9" spans="2:16" s="102" customFormat="1" ht="9.75" customHeight="1" x14ac:dyDescent="0.2">
      <c r="C9" s="133"/>
      <c r="D9" s="133"/>
      <c r="E9" s="133"/>
      <c r="F9" s="133"/>
      <c r="G9" s="133"/>
      <c r="H9" s="133"/>
      <c r="I9" s="133"/>
      <c r="J9" s="133"/>
    </row>
    <row r="10" spans="2:16" s="102" customFormat="1" ht="28.5" customHeight="1" x14ac:dyDescent="0.2">
      <c r="B10" s="475" t="str">
        <f>VLOOKUP(10,TXT,$F$3,0)</f>
        <v>Heizmedium</v>
      </c>
      <c r="C10" s="475"/>
      <c r="D10" s="475"/>
      <c r="E10" s="452" t="str">
        <f>CONCATENATE(D3,"° / ",D4," °C")</f>
        <v>75° / 65 °C</v>
      </c>
      <c r="F10" s="452"/>
      <c r="G10" s="452"/>
      <c r="H10" s="476" t="str">
        <f>VLOOKUP(11,TXT,$F$3,0)</f>
        <v>Raumtemperatur</v>
      </c>
      <c r="I10" s="476"/>
      <c r="J10" s="476"/>
      <c r="K10" s="460">
        <f>SUM(D5)</f>
        <v>20</v>
      </c>
      <c r="L10" s="460"/>
      <c r="M10" s="460"/>
      <c r="N10" s="151"/>
      <c r="O10" s="151"/>
      <c r="P10" s="151"/>
    </row>
    <row r="11" spans="2:16" s="102" customFormat="1" ht="13.5" customHeight="1" x14ac:dyDescent="0.2">
      <c r="C11" s="133"/>
      <c r="D11" s="133"/>
      <c r="E11" s="133"/>
      <c r="F11" s="133"/>
      <c r="G11" s="133"/>
      <c r="H11" s="133"/>
      <c r="I11" s="133"/>
      <c r="J11" s="133"/>
    </row>
    <row r="12" spans="2:16" ht="24.75" customHeight="1" x14ac:dyDescent="0.25">
      <c r="B12" s="465" t="str">
        <f>VLOOKUP(9,TXT,$F$3,0)</f>
        <v>Modell</v>
      </c>
      <c r="C12" s="466"/>
      <c r="D12" s="467"/>
      <c r="E12" s="468" t="s">
        <v>1363</v>
      </c>
      <c r="F12" s="469"/>
      <c r="G12" s="469"/>
      <c r="H12" s="468" t="s">
        <v>1381</v>
      </c>
      <c r="I12" s="469"/>
      <c r="J12" s="470"/>
      <c r="K12" s="469" t="s">
        <v>1382</v>
      </c>
      <c r="L12" s="469"/>
      <c r="M12" s="470"/>
      <c r="N12" s="153"/>
      <c r="O12" s="153"/>
      <c r="P12" s="153"/>
    </row>
    <row r="13" spans="2:16" x14ac:dyDescent="0.2">
      <c r="B13" s="441" t="s">
        <v>1351</v>
      </c>
      <c r="C13" s="442"/>
      <c r="D13" s="443"/>
      <c r="E13" s="446">
        <v>176</v>
      </c>
      <c r="F13" s="447"/>
      <c r="G13" s="447"/>
      <c r="H13" s="446">
        <v>240</v>
      </c>
      <c r="I13" s="447"/>
      <c r="J13" s="448"/>
      <c r="K13" s="447">
        <v>288</v>
      </c>
      <c r="L13" s="447"/>
      <c r="M13" s="448"/>
      <c r="N13" s="155"/>
      <c r="O13" s="155"/>
      <c r="P13" s="155"/>
    </row>
    <row r="14" spans="2:16" x14ac:dyDescent="0.2">
      <c r="B14" s="441" t="s">
        <v>1352</v>
      </c>
      <c r="C14" s="442"/>
      <c r="D14" s="443"/>
      <c r="E14" s="446">
        <v>109</v>
      </c>
      <c r="F14" s="447"/>
      <c r="G14" s="447"/>
      <c r="H14" s="446">
        <v>109</v>
      </c>
      <c r="I14" s="447"/>
      <c r="J14" s="448"/>
      <c r="K14" s="447">
        <v>109</v>
      </c>
      <c r="L14" s="447"/>
      <c r="M14" s="448"/>
      <c r="N14" s="155"/>
      <c r="O14" s="155"/>
      <c r="P14" s="155"/>
    </row>
    <row r="15" spans="2:16" x14ac:dyDescent="0.2">
      <c r="B15" s="236"/>
      <c r="C15" s="237"/>
      <c r="D15" s="238"/>
      <c r="E15" s="457" t="s">
        <v>1364</v>
      </c>
      <c r="F15" s="458"/>
      <c r="G15" s="458"/>
      <c r="H15" s="457" t="s">
        <v>1354</v>
      </c>
      <c r="I15" s="458"/>
      <c r="J15" s="459"/>
      <c r="K15" s="458" t="s">
        <v>1355</v>
      </c>
      <c r="L15" s="458"/>
      <c r="M15" s="459"/>
      <c r="N15" s="157"/>
      <c r="O15" s="157"/>
      <c r="P15" s="157"/>
    </row>
    <row r="16" spans="2:16" ht="21" customHeight="1" x14ac:dyDescent="0.25">
      <c r="B16" s="236"/>
      <c r="C16" s="237"/>
      <c r="D16" s="238" t="str">
        <f>VLOOKUP(30,TXT,$F$3,0)</f>
        <v>Stufe</v>
      </c>
      <c r="E16" s="256" t="s">
        <v>1383</v>
      </c>
      <c r="F16" s="257" t="s">
        <v>1384</v>
      </c>
      <c r="G16" s="257" t="s">
        <v>1385</v>
      </c>
      <c r="H16" s="256" t="s">
        <v>1383</v>
      </c>
      <c r="I16" s="257" t="s">
        <v>1384</v>
      </c>
      <c r="J16" s="258" t="s">
        <v>1385</v>
      </c>
      <c r="K16" s="257" t="s">
        <v>1383</v>
      </c>
      <c r="L16" s="257" t="s">
        <v>1384</v>
      </c>
      <c r="M16" s="258" t="s">
        <v>1385</v>
      </c>
      <c r="N16" s="163"/>
      <c r="O16" s="163"/>
      <c r="P16" s="163"/>
    </row>
    <row r="17" spans="2:18" ht="21.75" customHeight="1" x14ac:dyDescent="0.2">
      <c r="B17" s="441" t="s">
        <v>1356</v>
      </c>
      <c r="C17" s="442"/>
      <c r="D17" s="259" t="s">
        <v>1386</v>
      </c>
      <c r="E17" s="449" t="str">
        <f>VLOOKUP(13,TXT,$F$3,0)</f>
        <v>Leistungen [W]</v>
      </c>
      <c r="F17" s="450"/>
      <c r="G17" s="450"/>
      <c r="H17" s="450"/>
      <c r="I17" s="450" t="str">
        <f>VLOOKUP(45,TXT,$F$3,0)</f>
        <v>Wassermassenstrom [kg/h] *</v>
      </c>
      <c r="J17" s="450"/>
      <c r="K17" s="450"/>
      <c r="L17" s="450"/>
      <c r="M17" s="463"/>
      <c r="N17" s="160"/>
      <c r="O17" s="160"/>
      <c r="P17" s="160"/>
    </row>
    <row r="18" spans="2:18" x14ac:dyDescent="0.2">
      <c r="B18" s="455">
        <v>1300</v>
      </c>
      <c r="C18" s="456"/>
      <c r="D18" s="444" t="s">
        <v>972</v>
      </c>
      <c r="E18" s="134">
        <f>ROUND('BASE-FAN109-AC45-5'!B$3*($B18-300-($R18*800))*(VLOOKUP(ROUND(((($D$3+$D$4)/2)-$D$5),2),FAKT_C109,2,-1))+'BASE-FAN109-AC45-5'!B$2*$R18*(VLOOKUP(ROUND(((($D$3+$D$4)/2)-$D$5),3),FAKT_C109,3,-1)),0)</f>
        <v>592</v>
      </c>
      <c r="F18" s="135">
        <f>ROUND('BASE-FAN109-AC45-5'!C$3*($B18-300-($R18*800))*(VLOOKUP(ROUND(((($D$3+$D$4)/2)-$D$5),2),FAKT_C109,2,-1))+'BASE-FAN109-AC45-5'!C$2*$R18*(VLOOKUP(ROUND(((($D$3+$D$4)/2)-$D$5),3),FAKT_C109,3,-1)),0)</f>
        <v>837</v>
      </c>
      <c r="G18" s="136">
        <f>ROUND('BASE-FAN109-AC45-5'!D$3*($B18-300-($R18*800))*(VLOOKUP(ROUND(((($D$3+$D$4)/2)-$D$5),2),FAKT_C109,2,-1))+'BASE-FAN109-AC45-5'!D$2*$R18*(VLOOKUP(ROUND(((($D$3+$D$4)/2)-$D$5),3),FAKT_C109,3,-1)),0)</f>
        <v>1007</v>
      </c>
      <c r="H18" s="134">
        <f>ROUND('BASE-FAN109-AC45-5'!E$3*($B18-300-($R18*800))*(VLOOKUP(ROUND(((($D$3+$D$4)/2)-$D$5),2),FAKT_C109,2,-1))+'BASE-FAN109-AC45-5'!E$2*$R18*(VLOOKUP(ROUND(((($D$3+$D$4)/2)-$D$5),3),FAKT_C109,3,-1)),0)</f>
        <v>929</v>
      </c>
      <c r="I18" s="135">
        <f>ROUND('BASE-FAN109-AC45-5'!F$3*($B18-300-($R18*800))*(VLOOKUP(ROUND(((($D$3+$D$4)/2)-$D$5),2),FAKT_C109,2,-1))+'BASE-FAN109-AC45-5'!F$2*$R18*(VLOOKUP(ROUND(((($D$3+$D$4)/2)-$D$5),3),FAKT_C109,3,-1)),0)</f>
        <v>1367</v>
      </c>
      <c r="J18" s="136">
        <f>ROUND('BASE-FAN109-AC45-5'!G$3*($B18-300-($R18*800))*(VLOOKUP(ROUND(((($D$3+$D$4)/2)-$D$5),2),FAKT_C109,2,-1))+'BASE-FAN109-AC45-5'!G$2*$R18*(VLOOKUP(ROUND(((($D$3+$D$4)/2)-$D$5),3),FAKT_C109,3,-1)),0)</f>
        <v>1664</v>
      </c>
      <c r="K18" s="134">
        <f>ROUND('BASE-FAN109-AC45-5'!H$3*($B18-300-($R18*800))*(VLOOKUP(ROUND(((($D$3+$D$4)/2)-$D$5),2),FAKT_C109,2,-1))+'BASE-FAN109-AC45-5'!H$2*$R18*(VLOOKUP(ROUND(((($D$3+$D$4)/2)-$D$5),3),FAKT_C109,3,-1)),0)</f>
        <v>1121</v>
      </c>
      <c r="L18" s="135">
        <f>ROUND('BASE-FAN109-AC45-5'!I$3*($B18-300-($R18*800))*(VLOOKUP(ROUND(((($D$3+$D$4)/2)-$D$5),2),FAKT_C109,2,-1))+'BASE-FAN109-AC45-5'!I$2*$R18*(VLOOKUP(ROUND(((($D$3+$D$4)/2)-$D$5),3),FAKT_C109,3,-1)),0)</f>
        <v>1611</v>
      </c>
      <c r="M18" s="136">
        <f>ROUND('BASE-FAN109-AC45-5'!J$3*($B18-300-($R18*800))*(VLOOKUP(ROUND(((($D$3+$D$4)/2)-$D$5),2),FAKT_C109,2,-1))+'BASE-FAN109-AC45-5'!J$2*$R18*(VLOOKUP(ROUND(((($D$3+$D$4)/2)-$D$5),3),FAKT_C109,3,-1)),0)</f>
        <v>1951</v>
      </c>
      <c r="N18" s="164"/>
      <c r="O18" s="164"/>
      <c r="P18" s="164"/>
      <c r="R18" s="445">
        <v>1</v>
      </c>
    </row>
    <row r="19" spans="2:18" x14ac:dyDescent="0.2">
      <c r="B19" s="455"/>
      <c r="C19" s="456"/>
      <c r="D19" s="445"/>
      <c r="E19" s="137">
        <f t="shared" ref="E19:M19" si="0">ROUNDDOWN(E18/(1.161*($D$3-$D$4)),0)</f>
        <v>50</v>
      </c>
      <c r="F19" s="138">
        <f t="shared" si="0"/>
        <v>72</v>
      </c>
      <c r="G19" s="139">
        <f t="shared" si="0"/>
        <v>86</v>
      </c>
      <c r="H19" s="137">
        <f t="shared" si="0"/>
        <v>80</v>
      </c>
      <c r="I19" s="138">
        <f t="shared" si="0"/>
        <v>117</v>
      </c>
      <c r="J19" s="139">
        <f t="shared" si="0"/>
        <v>143</v>
      </c>
      <c r="K19" s="137">
        <f t="shared" si="0"/>
        <v>96</v>
      </c>
      <c r="L19" s="138">
        <f t="shared" si="0"/>
        <v>138</v>
      </c>
      <c r="M19" s="139">
        <f t="shared" si="0"/>
        <v>168</v>
      </c>
      <c r="N19" s="165"/>
      <c r="O19" s="165"/>
      <c r="P19" s="165"/>
      <c r="R19" s="445"/>
    </row>
    <row r="20" spans="2:18" x14ac:dyDescent="0.2">
      <c r="B20" s="437">
        <v>2100</v>
      </c>
      <c r="C20" s="438"/>
      <c r="D20" s="439" t="s">
        <v>974</v>
      </c>
      <c r="E20" s="243">
        <f>ROUND('BASE-FAN109-AC45-5'!B$3*($B20-300-($R20*800))*(VLOOKUP(ROUND(((($D$3+$D$4)/2)-$D$5),2),FAKT_C109,2,-1))+'BASE-FAN109-AC45-5'!B$2*$R20*(VLOOKUP(ROUND(((($D$3+$D$4)/2)-$D$5),3),FAKT_C109,3,-1)),0)</f>
        <v>1157</v>
      </c>
      <c r="F20" s="244">
        <f>ROUND('BASE-FAN109-AC45-5'!C$3*($B20-300-($R20*800))*(VLOOKUP(ROUND(((($D$3+$D$4)/2)-$D$5),2),FAKT_C109,2,-1))+'BASE-FAN109-AC45-5'!C$2*$R20*(VLOOKUP(ROUND(((($D$3+$D$4)/2)-$D$5),3),FAKT_C109,3,-1)),0)</f>
        <v>1647</v>
      </c>
      <c r="G20" s="245">
        <f>ROUND('BASE-FAN109-AC45-5'!D$3*($B20-300-($R20*0))*(VLOOKUP(ROUND(((($D$3+$D$4)/2)-$D$5),2),FAKT_C109,2,-1))+'BASE-FAN109-AC45-5'!D$2*$R20*(VLOOKUP(ROUND(((($D$3+$D$4)/2)-$D$5),3),FAKT_C109,3,-1)),0)</f>
        <v>2203</v>
      </c>
      <c r="H20" s="243">
        <f>ROUND('BASE-FAN109-AC45-5'!E$3*($B20-300-($R20*800))*(VLOOKUP(ROUND(((($D$3+$D$4)/2)-$D$5),2),FAKT_C109,2,-1))+'BASE-FAN109-AC45-5'!E$2*$R20*(VLOOKUP(ROUND(((($D$3+$D$4)/2)-$D$5),3),FAKT_C109,3,-1)),0)</f>
        <v>1809</v>
      </c>
      <c r="I20" s="244">
        <f>ROUND('BASE-FAN109-AC45-5'!F$3*($B20-300-($R20*800))*(VLOOKUP(ROUND(((($D$3+$D$4)/2)-$D$5),2),FAKT_C109,2,-1))+'BASE-FAN109-AC45-5'!F$2*$R20*(VLOOKUP(ROUND(((($D$3+$D$4)/2)-$D$5),3),FAKT_C109,3,-1)),0)</f>
        <v>2685</v>
      </c>
      <c r="J20" s="245">
        <f>ROUND('BASE-FAN109-AC45-5'!G$3*($B20-300-($R20*800))*(VLOOKUP(ROUND(((($D$3+$D$4)/2)-$D$5),2),FAKT_C109,2,-1))+'BASE-FAN109-AC45-5'!G$2*$R20*(VLOOKUP(ROUND(((($D$3+$D$4)/2)-$D$5),3),FAKT_C109,3,-1)),0)</f>
        <v>3279</v>
      </c>
      <c r="K20" s="243">
        <f>ROUND('BASE-FAN109-AC45-5'!H$3*($B20-300-($R20*800))*(VLOOKUP(ROUND(((($D$3+$D$4)/2)-$D$5),2),FAKT_C109,2,-1))+'BASE-FAN109-AC45-5'!H$2*$R20*(VLOOKUP(ROUND(((($D$3+$D$4)/2)-$D$5),3),FAKT_C109,3,-1)),0)</f>
        <v>2171</v>
      </c>
      <c r="L20" s="244">
        <f>ROUND('BASE-FAN109-AC45-5'!I$3*($B20-300-($R20*800))*(VLOOKUP(ROUND(((($D$3+$D$4)/2)-$D$5),2),FAKT_C109,2,-1))+'BASE-FAN109-AC45-5'!I$2*$R20*(VLOOKUP(ROUND(((($D$3+$D$4)/2)-$D$5),3),FAKT_C109,3,-1)),0)</f>
        <v>3151</v>
      </c>
      <c r="M20" s="245">
        <f>ROUND('BASE-FAN109-AC45-5'!J$3*($B20-300-($R20*800))*(VLOOKUP(ROUND(((($D$3+$D$4)/2)-$D$5),2),FAKT_C109,2,-1))+'BASE-FAN109-AC45-5'!J$2*$R20*(VLOOKUP(ROUND(((($D$3+$D$4)/2)-$D$5),3),FAKT_C109,3,-1)),0)</f>
        <v>3831</v>
      </c>
      <c r="N20" s="164"/>
      <c r="O20" s="164"/>
      <c r="P20" s="164"/>
      <c r="R20" s="454">
        <v>2</v>
      </c>
    </row>
    <row r="21" spans="2:18" x14ac:dyDescent="0.2">
      <c r="B21" s="437"/>
      <c r="C21" s="438"/>
      <c r="D21" s="440"/>
      <c r="E21" s="246">
        <f t="shared" ref="E21:M21" si="1">ROUNDDOWN(E20/(1.161*($D$3-$D$4)),0)</f>
        <v>99</v>
      </c>
      <c r="F21" s="247">
        <f t="shared" si="1"/>
        <v>141</v>
      </c>
      <c r="G21" s="248">
        <f t="shared" si="1"/>
        <v>189</v>
      </c>
      <c r="H21" s="246">
        <f t="shared" si="1"/>
        <v>155</v>
      </c>
      <c r="I21" s="247">
        <f t="shared" si="1"/>
        <v>231</v>
      </c>
      <c r="J21" s="248">
        <f t="shared" si="1"/>
        <v>282</v>
      </c>
      <c r="K21" s="246">
        <f t="shared" si="1"/>
        <v>186</v>
      </c>
      <c r="L21" s="247">
        <f t="shared" si="1"/>
        <v>271</v>
      </c>
      <c r="M21" s="248">
        <f t="shared" si="1"/>
        <v>329</v>
      </c>
      <c r="N21" s="165"/>
      <c r="O21" s="165"/>
      <c r="P21" s="165"/>
      <c r="R21" s="454"/>
    </row>
    <row r="22" spans="2:18" x14ac:dyDescent="0.2">
      <c r="B22" s="455">
        <v>2900</v>
      </c>
      <c r="C22" s="456"/>
      <c r="D22" s="444" t="s">
        <v>976</v>
      </c>
      <c r="E22" s="134">
        <f>ROUND('BASE-FAN109-AC45-5'!B$3*($B22-300-($R22*800))*(VLOOKUP(ROUND(((($D$3+$D$4)/2)-$D$5),2),FAKT_C109,2,-1))+'BASE-FAN109-AC45-5'!B$2*$R22*(VLOOKUP(ROUND(((($D$3+$D$4)/2)-$D$5),3),FAKT_C109,3,-1)),0)</f>
        <v>1722</v>
      </c>
      <c r="F22" s="135">
        <f>ROUND('BASE-FAN109-AC45-5'!C$3*($B22-300-($R22*800))*(VLOOKUP(ROUND(((($D$3+$D$4)/2)-$D$5),2),FAKT_C109,2,-1))+'BASE-FAN109-AC45-5'!C$2*$R22*(VLOOKUP(ROUND(((($D$3+$D$4)/2)-$D$5),3),FAKT_C109,3,-1)),0)</f>
        <v>2457</v>
      </c>
      <c r="G22" s="136">
        <f>ROUND('BASE-FAN109-AC45-5'!D$3*($B22-300-($R22*800))*(VLOOKUP(ROUND(((($D$3+$D$4)/2)-$D$5),2),FAKT_C109,2,-1))+'BASE-FAN109-AC45-5'!D$2*$R22*(VLOOKUP(ROUND(((($D$3+$D$4)/2)-$D$5),3),FAKT_C109,3,-1)),0)</f>
        <v>2967</v>
      </c>
      <c r="H22" s="134">
        <f>ROUND('BASE-FAN109-AC45-5'!E$3*($B22-300-($R22*800))*(VLOOKUP(ROUND(((($D$3+$D$4)/2)-$D$5),2),FAKT_C109,2,-1))+'BASE-FAN109-AC45-5'!E$2*$R22*(VLOOKUP(ROUND(((($D$3+$D$4)/2)-$D$5),3),FAKT_C109,3,-1)),0)</f>
        <v>2689</v>
      </c>
      <c r="I22" s="135">
        <f>ROUND('BASE-FAN109-AC45-5'!F$3*($B22-300-($R22*800))*(VLOOKUP(ROUND(((($D$3+$D$4)/2)-$D$5),2),FAKT_C109,2,-1))+'BASE-FAN109-AC45-5'!F$2*$R22*(VLOOKUP(ROUND(((($D$3+$D$4)/2)-$D$5),3),FAKT_C109,3,-1)),0)</f>
        <v>4003</v>
      </c>
      <c r="J22" s="136">
        <f>ROUND('BASE-FAN109-AC45-5'!G$3*($B22-300-($R22*800))*(VLOOKUP(ROUND(((($D$3+$D$4)/2)-$D$5),2),FAKT_C109,2,-1))+'BASE-FAN109-AC45-5'!G$2*$R22*(VLOOKUP(ROUND(((($D$3+$D$4)/2)-$D$5),3),FAKT_C109,3,-1)),0)</f>
        <v>4894</v>
      </c>
      <c r="K22" s="134">
        <f>ROUND('BASE-FAN109-AC45-5'!H$3*($B22-300-($R22*800))*(VLOOKUP(ROUND(((($D$3+$D$4)/2)-$D$5),2),FAKT_C109,2,-1))+'BASE-FAN109-AC45-5'!H$2*$R22*(VLOOKUP(ROUND(((($D$3+$D$4)/2)-$D$5),3),FAKT_C109,3,-1)),0)</f>
        <v>3221</v>
      </c>
      <c r="L22" s="135">
        <f>ROUND('BASE-FAN109-AC45-5'!I$3*($B22-300-($R22*800))*(VLOOKUP(ROUND(((($D$3+$D$4)/2)-$D$5),2),FAKT_C109,2,-1))+'BASE-FAN109-AC45-5'!I$2*$R22*(VLOOKUP(ROUND(((($D$3+$D$4)/2)-$D$5),3),FAKT_C109,3,-1)),0)</f>
        <v>4691</v>
      </c>
      <c r="M22" s="136">
        <f>ROUND('BASE-FAN109-AC45-5'!J$3*($B22-300-($R22*800))*(VLOOKUP(ROUND(((($D$3+$D$4)/2)-$D$5),2),FAKT_C109,2,-1))+'BASE-FAN109-AC45-5'!J$2*$R22*(VLOOKUP(ROUND(((($D$3+$D$4)/2)-$D$5),3),FAKT_C109,3,-1)),0)</f>
        <v>5711</v>
      </c>
      <c r="N22" s="164"/>
      <c r="O22" s="164"/>
      <c r="P22" s="164"/>
      <c r="R22" s="445">
        <v>3</v>
      </c>
    </row>
    <row r="23" spans="2:18" x14ac:dyDescent="0.2">
      <c r="B23" s="477"/>
      <c r="C23" s="478"/>
      <c r="D23" s="479"/>
      <c r="E23" s="166">
        <f t="shared" ref="E23:M23" si="2">ROUNDDOWN(E22/(1.161*($D$3-$D$4)),0)</f>
        <v>148</v>
      </c>
      <c r="F23" s="167">
        <f t="shared" si="2"/>
        <v>211</v>
      </c>
      <c r="G23" s="168">
        <f t="shared" si="2"/>
        <v>255</v>
      </c>
      <c r="H23" s="166">
        <f t="shared" si="2"/>
        <v>231</v>
      </c>
      <c r="I23" s="167">
        <f t="shared" si="2"/>
        <v>344</v>
      </c>
      <c r="J23" s="168">
        <f t="shared" si="2"/>
        <v>421</v>
      </c>
      <c r="K23" s="166">
        <f t="shared" si="2"/>
        <v>277</v>
      </c>
      <c r="L23" s="167">
        <f t="shared" si="2"/>
        <v>404</v>
      </c>
      <c r="M23" s="168">
        <f t="shared" si="2"/>
        <v>491</v>
      </c>
      <c r="N23" s="165"/>
      <c r="O23" s="165"/>
      <c r="P23" s="165"/>
      <c r="R23" s="445"/>
    </row>
    <row r="24" spans="2:18" x14ac:dyDescent="0.2">
      <c r="B24" s="148"/>
      <c r="C24" s="148"/>
      <c r="K24" s="140"/>
    </row>
    <row r="25" spans="2:18" x14ac:dyDescent="0.2">
      <c r="B25" s="141" t="str">
        <f>VLOOKUP(36,TXT,$F$3,0)</f>
        <v>Angabe in Watt  pro Bodenkonvektor-Länge L [mm]</v>
      </c>
      <c r="M25" s="121" t="str">
        <f>VLOOKUP(16,TXT,$F$3,0)</f>
        <v>Wärmeleistungen in Anlehnung an EN 442-2</v>
      </c>
    </row>
    <row r="26" spans="2:18" x14ac:dyDescent="0.2">
      <c r="B26" s="141" t="str">
        <f>VLOOKUP(59,TXT,$F$3,0)</f>
        <v>Bei Sonderkonstruktionen dient die Leistungstabelle als Richtwert</v>
      </c>
    </row>
    <row r="27" spans="2:18" x14ac:dyDescent="0.2">
      <c r="B27" s="141" t="str">
        <f>VLOOKUP(90,TXT,$F$3,0)</f>
        <v>Leistungsdaten mit Abdeckung, Rollrost Typ 941-17-B (f.Q. 70%)</v>
      </c>
    </row>
    <row r="28" spans="2:18" x14ac:dyDescent="0.2">
      <c r="B28" s="141" t="str">
        <f>CONCATENATE("(*) ",VLOOKUP(29,TXT,$F$3,0))</f>
        <v>(*) Minimale Wassermassenströme von ca. 20 kg/h sollen eingehalten werden</v>
      </c>
      <c r="G28" s="120"/>
    </row>
    <row r="29" spans="2:18" x14ac:dyDescent="0.2">
      <c r="B29" s="141" t="str">
        <f>CONCATENATE("(*) ",VLOOKUP(95,TXT,$F$3,0))</f>
        <v>(*) Massenstrom rechnerisch ermittelt, allfäliger Projektabgleich machen</v>
      </c>
      <c r="G29" s="120"/>
    </row>
    <row r="30" spans="2:18" x14ac:dyDescent="0.2">
      <c r="G30" s="120"/>
    </row>
    <row r="31" spans="2:18" x14ac:dyDescent="0.2"/>
    <row r="32" spans="2:18" x14ac:dyDescent="0.2">
      <c r="B32" s="249" t="s">
        <v>1357</v>
      </c>
      <c r="C32" s="250"/>
      <c r="D32" s="251" t="str">
        <f>VLOOKUP(31,TXT,$F$3,0)</f>
        <v>Gesamtlänge Bodenkonvektor</v>
      </c>
      <c r="E32" s="250"/>
      <c r="F32" s="250"/>
      <c r="G32" s="250"/>
    </row>
    <row r="33" spans="2:7" x14ac:dyDescent="0.2">
      <c r="B33" s="249" t="s">
        <v>1358</v>
      </c>
      <c r="C33" s="250"/>
      <c r="D33" s="251" t="str">
        <f>VLOOKUP(32,TXT,$F$3,0)</f>
        <v>Breite Bodenkonvektor</v>
      </c>
      <c r="E33" s="250"/>
      <c r="F33" s="250"/>
      <c r="G33" s="250"/>
    </row>
    <row r="34" spans="2:7" x14ac:dyDescent="0.2">
      <c r="B34" s="249" t="s">
        <v>1359</v>
      </c>
      <c r="C34" s="250"/>
      <c r="D34" s="251" t="str">
        <f>VLOOKUP(33,TXT,$F$3,0)</f>
        <v>Höhe Bodenkonvektor</v>
      </c>
      <c r="E34" s="250"/>
      <c r="F34" s="250"/>
      <c r="G34" s="250"/>
    </row>
    <row r="35" spans="2:7" x14ac:dyDescent="0.2">
      <c r="B35" s="249" t="s">
        <v>1360</v>
      </c>
      <c r="C35" s="250"/>
      <c r="D35" s="251" t="str">
        <f>VLOOKUP(60,TXT,$F$3,0)</f>
        <v>Querstromventilator Walzen</v>
      </c>
      <c r="E35" s="250"/>
      <c r="F35" s="250"/>
      <c r="G35" s="250"/>
    </row>
    <row r="36" spans="2:7" x14ac:dyDescent="0.2">
      <c r="B36" s="249" t="s">
        <v>1361</v>
      </c>
      <c r="C36" s="250"/>
      <c r="D36" s="251" t="str">
        <f>VLOOKUP(34,TXT,$F$3,0)</f>
        <v>Motor</v>
      </c>
      <c r="E36" s="250"/>
      <c r="F36" s="250"/>
      <c r="G36" s="250"/>
    </row>
    <row r="37" spans="2:7" x14ac:dyDescent="0.2"/>
    <row r="38" spans="2:7" x14ac:dyDescent="0.2">
      <c r="B38" s="141" t="str">
        <f>VLOOKUP(39,TXT,$F$3,0)</f>
        <v>Die Zwischenlängen werden durch Leerstücke angepasst.</v>
      </c>
    </row>
    <row r="39" spans="2:7" x14ac:dyDescent="0.2"/>
    <row r="40" spans="2:7" x14ac:dyDescent="0.2"/>
    <row r="41" spans="2:7" x14ac:dyDescent="0.2"/>
    <row r="42" spans="2:7" x14ac:dyDescent="0.2"/>
    <row r="43" spans="2:7" x14ac:dyDescent="0.2"/>
    <row r="44" spans="2:7" x14ac:dyDescent="0.2"/>
    <row r="45" spans="2:7" x14ac:dyDescent="0.2"/>
    <row r="46" spans="2:7" x14ac:dyDescent="0.2"/>
    <row r="47" spans="2:7" x14ac:dyDescent="0.2"/>
    <row r="48" spans="2:7" x14ac:dyDescent="0.2"/>
    <row r="49" spans="13:16" x14ac:dyDescent="0.2"/>
    <row r="50" spans="13:16" x14ac:dyDescent="0.2"/>
    <row r="51" spans="13:16" x14ac:dyDescent="0.2">
      <c r="P51" s="143"/>
    </row>
    <row r="52" spans="13:16" x14ac:dyDescent="0.2"/>
    <row r="53" spans="13:16" x14ac:dyDescent="0.2"/>
    <row r="54" spans="13:16" x14ac:dyDescent="0.2"/>
    <row r="55" spans="13:16" x14ac:dyDescent="0.2"/>
    <row r="56" spans="13:16" x14ac:dyDescent="0.2">
      <c r="M56" s="143" t="s">
        <v>1050</v>
      </c>
      <c r="P56" s="102"/>
    </row>
    <row r="57" spans="13:16" x14ac:dyDescent="0.2"/>
  </sheetData>
  <sheetProtection algorithmName="SHA-512" hashValue="lYGu/7zKNVR2HfptpL1pTQTDGGBeGoUdg+p+e6nFVhU+1xs5zXP3tK41v5+yawu3VWa0RR4LKYQgvQlv7L4wAQ==" saltValue="ZCIh8ZyHO5eIF/cgnx2cUQ==" spinCount="100000" sheet="1" objects="1" scenarios="1" selectLockedCells="1"/>
  <protectedRanges>
    <protectedRange sqref="G3:G5 F4:F5" name="Bereich1_1"/>
  </protectedRanges>
  <mergeCells count="42">
    <mergeCell ref="B10:D10"/>
    <mergeCell ref="E10:G10"/>
    <mergeCell ref="H10:J10"/>
    <mergeCell ref="K10:M10"/>
    <mergeCell ref="B7:M7"/>
    <mergeCell ref="B8:M8"/>
    <mergeCell ref="B12:D12"/>
    <mergeCell ref="E12:G12"/>
    <mergeCell ref="H12:J12"/>
    <mergeCell ref="K12:M12"/>
    <mergeCell ref="B13:D13"/>
    <mergeCell ref="E13:G13"/>
    <mergeCell ref="H13:J13"/>
    <mergeCell ref="K13:M13"/>
    <mergeCell ref="R18:R19"/>
    <mergeCell ref="B14:D14"/>
    <mergeCell ref="E14:G14"/>
    <mergeCell ref="H14:J14"/>
    <mergeCell ref="K14:M14"/>
    <mergeCell ref="E15:G15"/>
    <mergeCell ref="H15:J15"/>
    <mergeCell ref="K15:M15"/>
    <mergeCell ref="B17:C17"/>
    <mergeCell ref="E17:H17"/>
    <mergeCell ref="I17:M17"/>
    <mergeCell ref="B18:C19"/>
    <mergeCell ref="D18:D19"/>
    <mergeCell ref="B20:C21"/>
    <mergeCell ref="D20:D21"/>
    <mergeCell ref="R20:R21"/>
    <mergeCell ref="B22:C23"/>
    <mergeCell ref="D22:D23"/>
    <mergeCell ref="R22:R23"/>
    <mergeCell ref="D2:E2"/>
    <mergeCell ref="F2:G2"/>
    <mergeCell ref="B3:C3"/>
    <mergeCell ref="D3:E3"/>
    <mergeCell ref="F3:G5"/>
    <mergeCell ref="B4:C4"/>
    <mergeCell ref="D4:E4"/>
    <mergeCell ref="B5:C5"/>
    <mergeCell ref="D5:E5"/>
  </mergeCells>
  <conditionalFormatting sqref="D3:D5">
    <cfRule type="expression" dxfId="198" priority="2">
      <formula>$K$3&lt;&gt;""</formula>
    </cfRule>
  </conditionalFormatting>
  <conditionalFormatting sqref="D3:E5">
    <cfRule type="expression" dxfId="197" priority="1">
      <formula>$I$4&lt;&gt;""</formula>
    </cfRule>
  </conditionalFormatting>
  <conditionalFormatting sqref="E18:P18">
    <cfRule type="expression" dxfId="196" priority="54" stopIfTrue="1">
      <formula>E19&lt;20</formula>
    </cfRule>
  </conditionalFormatting>
  <conditionalFormatting sqref="E20:P20">
    <cfRule type="expression" dxfId="195" priority="48" stopIfTrue="1">
      <formula>E21&lt;20</formula>
    </cfRule>
  </conditionalFormatting>
  <conditionalFormatting sqref="E22:P22">
    <cfRule type="expression" dxfId="194" priority="3" stopIfTrue="1">
      <formula>E23&lt;20</formula>
    </cfRule>
  </conditionalFormatting>
  <dataValidations count="5">
    <dataValidation allowBlank="1" showDropDown="1" showInputMessage="1" showErrorMessage="1" sqref="R18 R20 R22 D18 D20 D22" xr:uid="{B3F84F76-588E-4030-8988-FF09371F45FC}"/>
    <dataValidation type="whole" allowBlank="1" showInputMessage="1" showErrorMessage="1" sqref="D3:E3" xr:uid="{11EAA756-2AF2-4AAA-AF92-C890E7B35AAB}">
      <formula1>30</formula1>
      <formula2>90</formula2>
    </dataValidation>
    <dataValidation type="whole" allowBlank="1" showInputMessage="1" showErrorMessage="1" sqref="D4:E4" xr:uid="{553C1706-5CC6-4793-B4E3-04151AAAF167}">
      <formula1>25</formula1>
      <formula2>85</formula2>
    </dataValidation>
    <dataValidation type="whole" allowBlank="1" showInputMessage="1" showErrorMessage="1" sqref="D5:E5" xr:uid="{70BCC882-5907-4211-8816-38F7E5ADC345}">
      <formula1>15</formula1>
      <formula2>29</formula2>
    </dataValidation>
    <dataValidation type="whole" allowBlank="1" showInputMessage="1" showErrorMessage="1" sqref="F3:G5" xr:uid="{7FEEDA81-2818-4195-AAB2-DC2FB347DE4E}">
      <formula1>2</formula1>
      <formula2>3</formula2>
    </dataValidation>
  </dataValidations>
  <pageMargins left="0.59055118110236227" right="0.39370078740157483" top="1.1811023622047245" bottom="0.98425196850393704" header="0.31496062992125984" footer="0.51181102362204722"/>
  <pageSetup paperSize="9" orientation="portrait" r:id="rId1"/>
  <headerFooter alignWithMargins="0">
    <oddHeader>&amp;C&amp;G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4" id="{36112EDF-66E3-41CD-AC81-91740F774EB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E19</xm:sqref>
        </x14:conditionalFormatting>
        <x14:conditionalFormatting xmlns:xm="http://schemas.microsoft.com/office/excel/2006/main">
          <x14:cfRule type="iconSet" priority="32" id="{4F2AD421-DFD3-4EEF-A44F-45370A67A82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E21</xm:sqref>
        </x14:conditionalFormatting>
        <x14:conditionalFormatting xmlns:xm="http://schemas.microsoft.com/office/excel/2006/main">
          <x14:cfRule type="iconSet" priority="20" id="{F2271F60-DB10-43CA-BB41-C1734C6EBB6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E23</xm:sqref>
        </x14:conditionalFormatting>
        <x14:conditionalFormatting xmlns:xm="http://schemas.microsoft.com/office/excel/2006/main">
          <x14:cfRule type="iconSet" priority="43" id="{CE6659AB-0099-4AC4-AA39-88374E1C0B7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F19</xm:sqref>
        </x14:conditionalFormatting>
        <x14:conditionalFormatting xmlns:xm="http://schemas.microsoft.com/office/excel/2006/main">
          <x14:cfRule type="iconSet" priority="31" id="{E9FE5F46-FF17-44F2-994C-7440B92E56D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F21</xm:sqref>
        </x14:conditionalFormatting>
        <x14:conditionalFormatting xmlns:xm="http://schemas.microsoft.com/office/excel/2006/main">
          <x14:cfRule type="iconSet" priority="19" id="{32797EBD-6C2D-4A28-B976-6CCCBBDD596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F23</xm:sqref>
        </x14:conditionalFormatting>
        <x14:conditionalFormatting xmlns:xm="http://schemas.microsoft.com/office/excel/2006/main">
          <x14:cfRule type="iconSet" priority="42" id="{4727E925-B94C-409F-9923-CB0555C4371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30" id="{7162A668-9B8A-4E12-853B-96172244FA9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G21</xm:sqref>
        </x14:conditionalFormatting>
        <x14:conditionalFormatting xmlns:xm="http://schemas.microsoft.com/office/excel/2006/main">
          <x14:cfRule type="iconSet" priority="18" id="{40EDD185-5737-4F3D-9B31-0E7656ABC2D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G23</xm:sqref>
        </x14:conditionalFormatting>
        <x14:conditionalFormatting xmlns:xm="http://schemas.microsoft.com/office/excel/2006/main">
          <x14:cfRule type="iconSet" priority="41" id="{FFAEC802-9F7F-4556-BC79-E249FC3120D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H19</xm:sqref>
        </x14:conditionalFormatting>
        <x14:conditionalFormatting xmlns:xm="http://schemas.microsoft.com/office/excel/2006/main">
          <x14:cfRule type="iconSet" priority="29" id="{08757017-FBF5-42CA-97B7-11543F06533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H21</xm:sqref>
        </x14:conditionalFormatting>
        <x14:conditionalFormatting xmlns:xm="http://schemas.microsoft.com/office/excel/2006/main">
          <x14:cfRule type="iconSet" priority="17" id="{8CD73870-3FAB-4E60-BFFB-A7DA66BFB75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H23</xm:sqref>
        </x14:conditionalFormatting>
        <x14:conditionalFormatting xmlns:xm="http://schemas.microsoft.com/office/excel/2006/main">
          <x14:cfRule type="iconSet" priority="40" id="{0C1AFAD0-B624-420C-95CA-63E22F7302A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I19</xm:sqref>
        </x14:conditionalFormatting>
        <x14:conditionalFormatting xmlns:xm="http://schemas.microsoft.com/office/excel/2006/main">
          <x14:cfRule type="iconSet" priority="28" id="{BBB943DC-9847-4427-A2D4-C0341913744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I21</xm:sqref>
        </x14:conditionalFormatting>
        <x14:conditionalFormatting xmlns:xm="http://schemas.microsoft.com/office/excel/2006/main">
          <x14:cfRule type="iconSet" priority="16" id="{D32B4F35-6CA3-440B-A3C8-79E13CE1D13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I23</xm:sqref>
        </x14:conditionalFormatting>
        <x14:conditionalFormatting xmlns:xm="http://schemas.microsoft.com/office/excel/2006/main">
          <x14:cfRule type="iconSet" priority="39" id="{19ADD325-5890-4FD2-9262-D0118480301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J19</xm:sqref>
        </x14:conditionalFormatting>
        <x14:conditionalFormatting xmlns:xm="http://schemas.microsoft.com/office/excel/2006/main">
          <x14:cfRule type="iconSet" priority="27" id="{169FE996-DCB9-4FE5-A98B-80EBE2CAB37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J21</xm:sqref>
        </x14:conditionalFormatting>
        <x14:conditionalFormatting xmlns:xm="http://schemas.microsoft.com/office/excel/2006/main">
          <x14:cfRule type="iconSet" priority="15" id="{A9C341C0-2559-414B-AF3B-60E18232AE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J23</xm:sqref>
        </x14:conditionalFormatting>
        <x14:conditionalFormatting xmlns:xm="http://schemas.microsoft.com/office/excel/2006/main">
          <x14:cfRule type="iconSet" priority="38" id="{EDC3D98B-8F0D-4B4D-AB72-EF1BC07538C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K19</xm:sqref>
        </x14:conditionalFormatting>
        <x14:conditionalFormatting xmlns:xm="http://schemas.microsoft.com/office/excel/2006/main">
          <x14:cfRule type="iconSet" priority="26" id="{8FE3915F-BC2A-4ACE-9B93-9B5F4D76A72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K21</xm:sqref>
        </x14:conditionalFormatting>
        <x14:conditionalFormatting xmlns:xm="http://schemas.microsoft.com/office/excel/2006/main">
          <x14:cfRule type="iconSet" priority="14" id="{8137CD55-968B-43D4-96F4-4564812299D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K23</xm:sqref>
        </x14:conditionalFormatting>
        <x14:conditionalFormatting xmlns:xm="http://schemas.microsoft.com/office/excel/2006/main">
          <x14:cfRule type="iconSet" priority="37" id="{3025D0E0-A24F-4DA2-A3FA-3AF757E97A0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L19</xm:sqref>
        </x14:conditionalFormatting>
        <x14:conditionalFormatting xmlns:xm="http://schemas.microsoft.com/office/excel/2006/main">
          <x14:cfRule type="iconSet" priority="25" id="{CA6C8C61-35FE-4501-817C-C02A2E6D71A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L21</xm:sqref>
        </x14:conditionalFormatting>
        <x14:conditionalFormatting xmlns:xm="http://schemas.microsoft.com/office/excel/2006/main">
          <x14:cfRule type="iconSet" priority="13" id="{6828ACD5-9B71-41C1-A14D-D7CEF9E2315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L23</xm:sqref>
        </x14:conditionalFormatting>
        <x14:conditionalFormatting xmlns:xm="http://schemas.microsoft.com/office/excel/2006/main">
          <x14:cfRule type="iconSet" priority="36" id="{0B3464CD-9C19-4058-AA00-25BBA3021AF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M19</xm:sqref>
        </x14:conditionalFormatting>
        <x14:conditionalFormatting xmlns:xm="http://schemas.microsoft.com/office/excel/2006/main">
          <x14:cfRule type="iconSet" priority="24" id="{B3B706D1-FDE4-4E6F-87FE-C17410446B4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M21</xm:sqref>
        </x14:conditionalFormatting>
        <x14:conditionalFormatting xmlns:xm="http://schemas.microsoft.com/office/excel/2006/main">
          <x14:cfRule type="iconSet" priority="12" id="{AB716501-45A6-47FD-A5FC-48D2669CC2E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M23</xm:sqref>
        </x14:conditionalFormatting>
        <x14:conditionalFormatting xmlns:xm="http://schemas.microsoft.com/office/excel/2006/main">
          <x14:cfRule type="iconSet" priority="35" id="{A5E8D6A9-5847-4F88-BC5B-D2C9634C15B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N19</xm:sqref>
        </x14:conditionalFormatting>
        <x14:conditionalFormatting xmlns:xm="http://schemas.microsoft.com/office/excel/2006/main">
          <x14:cfRule type="iconSet" priority="23" id="{2499D59C-8C0F-494A-83BB-1AD24D5769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N21</xm:sqref>
        </x14:conditionalFormatting>
        <x14:conditionalFormatting xmlns:xm="http://schemas.microsoft.com/office/excel/2006/main">
          <x14:cfRule type="iconSet" priority="11" id="{0D8DCE9B-685D-4C4B-982F-B3CD2E0B519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N23</xm:sqref>
        </x14:conditionalFormatting>
        <x14:conditionalFormatting xmlns:xm="http://schemas.microsoft.com/office/excel/2006/main">
          <x14:cfRule type="iconSet" priority="34" id="{BA4AF426-093F-48A0-AACA-E015A4B2653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22" id="{B547129A-D55B-43B5-A3EE-7334FFEECDC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0" id="{B90CBBA5-2535-4AF8-8C9C-DE668EDEDDF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O23</xm:sqref>
        </x14:conditionalFormatting>
        <x14:conditionalFormatting xmlns:xm="http://schemas.microsoft.com/office/excel/2006/main">
          <x14:cfRule type="iconSet" priority="33" id="{5EF053FF-1373-42E1-98A1-F02DED61F61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P19</xm:sqref>
        </x14:conditionalFormatting>
        <x14:conditionalFormatting xmlns:xm="http://schemas.microsoft.com/office/excel/2006/main">
          <x14:cfRule type="iconSet" priority="21" id="{8C27250D-9F05-4E13-959A-C982762F788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P21</xm:sqref>
        </x14:conditionalFormatting>
        <x14:conditionalFormatting xmlns:xm="http://schemas.microsoft.com/office/excel/2006/main">
          <x14:cfRule type="iconSet" priority="9" id="{6FA658E8-91B0-48EF-A6D8-E7926D5DFB7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P23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0C04B-42BA-46B8-B468-5B2DA6368419}">
  <dimension ref="A1:N5"/>
  <sheetViews>
    <sheetView workbookViewId="0">
      <selection activeCell="F3" sqref="F3:G3"/>
    </sheetView>
  </sheetViews>
  <sheetFormatPr baseColWidth="10" defaultRowHeight="12.75" x14ac:dyDescent="0.2"/>
  <cols>
    <col min="1" max="16384" width="11.42578125" style="101"/>
  </cols>
  <sheetData>
    <row r="1" spans="1:14" x14ac:dyDescent="0.2">
      <c r="B1" s="101" t="s">
        <v>1188</v>
      </c>
      <c r="C1" s="101" t="s">
        <v>1189</v>
      </c>
      <c r="D1" s="101" t="s">
        <v>1190</v>
      </c>
      <c r="E1" s="101" t="s">
        <v>1191</v>
      </c>
      <c r="F1" s="101" t="s">
        <v>1192</v>
      </c>
      <c r="G1" s="101" t="s">
        <v>1193</v>
      </c>
      <c r="H1" s="101" t="s">
        <v>1194</v>
      </c>
      <c r="I1" s="101" t="s">
        <v>1195</v>
      </c>
      <c r="J1" s="101" t="s">
        <v>1196</v>
      </c>
      <c r="K1" s="101" t="s">
        <v>1365</v>
      </c>
      <c r="L1" s="101" t="s">
        <v>1366</v>
      </c>
      <c r="M1" s="101" t="s">
        <v>1367</v>
      </c>
      <c r="N1" s="101" t="s">
        <v>1082</v>
      </c>
    </row>
    <row r="2" spans="1:14" x14ac:dyDescent="0.2">
      <c r="A2" s="101" t="s">
        <v>1197</v>
      </c>
      <c r="B2" s="101">
        <v>565</v>
      </c>
      <c r="C2" s="101">
        <v>810</v>
      </c>
      <c r="D2" s="101">
        <v>980</v>
      </c>
      <c r="E2" s="101">
        <v>880</v>
      </c>
      <c r="F2" s="101">
        <v>1318</v>
      </c>
      <c r="G2" s="101">
        <v>1615</v>
      </c>
      <c r="H2" s="101">
        <v>1050</v>
      </c>
      <c r="I2" s="101">
        <v>1540</v>
      </c>
      <c r="J2" s="101">
        <v>1880</v>
      </c>
      <c r="K2" s="101">
        <v>1226</v>
      </c>
      <c r="L2" s="101">
        <v>1632</v>
      </c>
      <c r="M2" s="101">
        <v>2024</v>
      </c>
      <c r="N2" s="101" t="s">
        <v>1368</v>
      </c>
    </row>
    <row r="3" spans="1:14" x14ac:dyDescent="0.2">
      <c r="A3" s="124" t="s">
        <v>1199</v>
      </c>
      <c r="B3" s="101">
        <v>0.13500000000000001</v>
      </c>
      <c r="C3" s="101">
        <v>0.13500000000000001</v>
      </c>
      <c r="D3" s="101">
        <v>0.13500000000000001</v>
      </c>
      <c r="E3" s="101">
        <v>0.24399999999999999</v>
      </c>
      <c r="F3" s="101">
        <v>0.24399999999999999</v>
      </c>
      <c r="G3" s="101">
        <v>0.24399999999999999</v>
      </c>
      <c r="H3" s="101">
        <v>0.35699999999999998</v>
      </c>
      <c r="I3" s="101">
        <v>0.35699999999999998</v>
      </c>
      <c r="J3" s="101">
        <v>0.35699999999999998</v>
      </c>
      <c r="K3" s="101">
        <v>0.40100000000000002</v>
      </c>
      <c r="L3" s="101">
        <v>0.40100000000000002</v>
      </c>
      <c r="M3" s="101">
        <v>0.40100000000000002</v>
      </c>
      <c r="N3" s="101" t="s">
        <v>1368</v>
      </c>
    </row>
    <row r="5" spans="1:14" x14ac:dyDescent="0.2">
      <c r="A5" s="169" t="s">
        <v>1200</v>
      </c>
      <c r="B5" s="125">
        <v>43784</v>
      </c>
      <c r="C5" s="125">
        <v>43784</v>
      </c>
      <c r="D5" s="125">
        <v>43784</v>
      </c>
      <c r="E5" s="125">
        <v>43784</v>
      </c>
      <c r="F5" s="125">
        <v>43784</v>
      </c>
      <c r="G5" s="125">
        <v>43784</v>
      </c>
      <c r="H5" s="125">
        <v>43784</v>
      </c>
      <c r="I5" s="125">
        <v>43784</v>
      </c>
      <c r="J5" s="125">
        <v>43784</v>
      </c>
    </row>
  </sheetData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7D24-74B7-444C-9CCB-31B5441DB246}">
  <dimension ref="A1:V28"/>
  <sheetViews>
    <sheetView workbookViewId="0">
      <selection activeCell="F3" sqref="F3:G3"/>
    </sheetView>
  </sheetViews>
  <sheetFormatPr baseColWidth="10" defaultRowHeight="12.75" x14ac:dyDescent="0.2"/>
  <cols>
    <col min="1" max="16384" width="11.42578125" style="101"/>
  </cols>
  <sheetData>
    <row r="1" spans="1:22" x14ac:dyDescent="0.2">
      <c r="B1" s="101" t="s">
        <v>1143</v>
      </c>
      <c r="C1" s="102" t="s">
        <v>1161</v>
      </c>
      <c r="D1" s="102" t="s">
        <v>1162</v>
      </c>
      <c r="E1" s="102" t="s">
        <v>1163</v>
      </c>
      <c r="F1" s="102" t="s">
        <v>1164</v>
      </c>
      <c r="G1" s="102" t="s">
        <v>1165</v>
      </c>
      <c r="H1" s="102" t="s">
        <v>1166</v>
      </c>
      <c r="I1" s="102" t="s">
        <v>1167</v>
      </c>
      <c r="J1" s="101" t="s">
        <v>1141</v>
      </c>
      <c r="M1" s="102" t="s">
        <v>1142</v>
      </c>
      <c r="N1" s="101" t="s">
        <v>1143</v>
      </c>
      <c r="O1" s="101" t="s">
        <v>1144</v>
      </c>
      <c r="P1" s="101" t="s">
        <v>1145</v>
      </c>
      <c r="Q1" s="101" t="s">
        <v>1146</v>
      </c>
      <c r="R1" s="101" t="s">
        <v>1147</v>
      </c>
      <c r="S1" s="101" t="s">
        <v>1148</v>
      </c>
      <c r="T1" s="101" t="s">
        <v>1149</v>
      </c>
      <c r="U1" s="101" t="s">
        <v>1150</v>
      </c>
      <c r="V1" s="102" t="s">
        <v>1168</v>
      </c>
    </row>
    <row r="2" spans="1:22" x14ac:dyDescent="0.2">
      <c r="A2" s="101">
        <v>750</v>
      </c>
      <c r="B2" s="101">
        <v>96</v>
      </c>
      <c r="C2" s="101">
        <v>116</v>
      </c>
      <c r="D2" s="101">
        <v>234</v>
      </c>
      <c r="E2" s="101">
        <v>241</v>
      </c>
      <c r="F2" s="101">
        <v>282</v>
      </c>
      <c r="G2" s="101">
        <v>301</v>
      </c>
      <c r="H2" s="101">
        <v>310</v>
      </c>
      <c r="I2" s="101">
        <v>356</v>
      </c>
      <c r="M2" s="101">
        <v>900</v>
      </c>
      <c r="N2" s="101">
        <v>150</v>
      </c>
      <c r="O2" s="101">
        <v>202</v>
      </c>
      <c r="P2" s="101">
        <v>258</v>
      </c>
      <c r="Q2" s="101">
        <v>284</v>
      </c>
      <c r="R2" s="101">
        <v>317</v>
      </c>
      <c r="S2" s="101">
        <v>339</v>
      </c>
      <c r="T2" s="101">
        <v>384</v>
      </c>
      <c r="U2" s="101">
        <v>430</v>
      </c>
    </row>
    <row r="3" spans="1:22" x14ac:dyDescent="0.2">
      <c r="A3" s="101">
        <v>850</v>
      </c>
      <c r="B3" s="101">
        <v>120</v>
      </c>
      <c r="C3" s="101">
        <v>145</v>
      </c>
      <c r="D3" s="101">
        <v>293</v>
      </c>
      <c r="E3" s="101">
        <v>302</v>
      </c>
      <c r="F3" s="101">
        <v>352</v>
      </c>
      <c r="G3" s="101">
        <v>375</v>
      </c>
      <c r="H3" s="101">
        <v>388</v>
      </c>
      <c r="I3" s="101">
        <v>445</v>
      </c>
      <c r="M3" s="101">
        <v>1000</v>
      </c>
      <c r="N3" s="101">
        <v>175</v>
      </c>
      <c r="O3" s="101">
        <v>235</v>
      </c>
      <c r="P3" s="101">
        <v>301</v>
      </c>
      <c r="Q3" s="101">
        <v>331</v>
      </c>
      <c r="R3" s="101">
        <v>369</v>
      </c>
      <c r="S3" s="101">
        <v>395</v>
      </c>
      <c r="T3" s="101">
        <v>448</v>
      </c>
      <c r="U3" s="101">
        <v>502</v>
      </c>
    </row>
    <row r="4" spans="1:22" x14ac:dyDescent="0.2">
      <c r="A4" s="101">
        <v>950</v>
      </c>
      <c r="B4" s="101">
        <v>143</v>
      </c>
      <c r="C4" s="101">
        <v>174</v>
      </c>
      <c r="D4" s="101">
        <v>351</v>
      </c>
      <c r="E4" s="101">
        <v>362</v>
      </c>
      <c r="F4" s="101">
        <v>422</v>
      </c>
      <c r="G4" s="101">
        <v>450</v>
      </c>
      <c r="H4" s="101">
        <v>466</v>
      </c>
      <c r="I4" s="101">
        <v>535</v>
      </c>
      <c r="M4" s="101">
        <v>1100</v>
      </c>
      <c r="N4" s="101">
        <v>200</v>
      </c>
      <c r="O4" s="101">
        <v>269</v>
      </c>
      <c r="P4" s="101">
        <v>344</v>
      </c>
      <c r="Q4" s="101">
        <v>379</v>
      </c>
      <c r="R4" s="101">
        <v>422</v>
      </c>
      <c r="S4" s="101">
        <v>452</v>
      </c>
      <c r="T4" s="101">
        <v>512</v>
      </c>
      <c r="U4" s="101">
        <v>573</v>
      </c>
    </row>
    <row r="5" spans="1:22" x14ac:dyDescent="0.2">
      <c r="A5" s="101">
        <v>1050</v>
      </c>
      <c r="B5" s="101">
        <v>167</v>
      </c>
      <c r="C5" s="101">
        <v>202</v>
      </c>
      <c r="D5" s="101">
        <v>409</v>
      </c>
      <c r="E5" s="101">
        <v>422</v>
      </c>
      <c r="F5" s="101">
        <v>493</v>
      </c>
      <c r="G5" s="101">
        <v>526</v>
      </c>
      <c r="H5" s="101">
        <v>544</v>
      </c>
      <c r="I5" s="101">
        <v>624</v>
      </c>
      <c r="M5" s="101">
        <v>1200</v>
      </c>
      <c r="N5" s="101">
        <v>225</v>
      </c>
      <c r="O5" s="101">
        <v>302</v>
      </c>
      <c r="P5" s="101">
        <v>387</v>
      </c>
      <c r="Q5" s="101">
        <v>426</v>
      </c>
      <c r="R5" s="101">
        <v>475</v>
      </c>
      <c r="S5" s="101">
        <v>508</v>
      </c>
      <c r="T5" s="101">
        <v>576</v>
      </c>
      <c r="U5" s="101">
        <v>645</v>
      </c>
    </row>
    <row r="6" spans="1:22" x14ac:dyDescent="0.2">
      <c r="A6" s="101">
        <v>1150</v>
      </c>
      <c r="B6" s="101">
        <v>192</v>
      </c>
      <c r="C6" s="101">
        <v>232</v>
      </c>
      <c r="D6" s="101">
        <v>467</v>
      </c>
      <c r="E6" s="101">
        <v>482</v>
      </c>
      <c r="F6" s="101">
        <v>563</v>
      </c>
      <c r="G6" s="101">
        <v>600</v>
      </c>
      <c r="H6" s="101">
        <v>620</v>
      </c>
      <c r="I6" s="101">
        <v>712</v>
      </c>
      <c r="M6" s="101">
        <v>1300</v>
      </c>
      <c r="N6" s="101">
        <v>250</v>
      </c>
      <c r="O6" s="101">
        <v>336</v>
      </c>
      <c r="P6" s="101">
        <v>430</v>
      </c>
      <c r="Q6" s="101">
        <v>474</v>
      </c>
      <c r="R6" s="101">
        <v>528</v>
      </c>
      <c r="S6" s="101">
        <v>564</v>
      </c>
      <c r="T6" s="101">
        <v>640</v>
      </c>
      <c r="U6" s="101">
        <v>717</v>
      </c>
    </row>
    <row r="7" spans="1:22" x14ac:dyDescent="0.2">
      <c r="A7" s="101">
        <v>1250</v>
      </c>
      <c r="B7" s="101">
        <v>216</v>
      </c>
      <c r="C7" s="101">
        <v>261</v>
      </c>
      <c r="D7" s="101">
        <v>526</v>
      </c>
      <c r="E7" s="101">
        <v>543</v>
      </c>
      <c r="F7" s="101">
        <v>634</v>
      </c>
      <c r="G7" s="101">
        <v>676</v>
      </c>
      <c r="H7" s="101">
        <v>698</v>
      </c>
      <c r="I7" s="101">
        <v>802</v>
      </c>
      <c r="M7" s="101">
        <v>1400</v>
      </c>
      <c r="N7" s="101">
        <v>275</v>
      </c>
      <c r="O7" s="101">
        <v>370</v>
      </c>
      <c r="P7" s="101">
        <v>473</v>
      </c>
      <c r="Q7" s="101">
        <v>521</v>
      </c>
      <c r="R7" s="101">
        <v>580</v>
      </c>
      <c r="S7" s="101">
        <v>621</v>
      </c>
      <c r="T7" s="101">
        <v>704</v>
      </c>
      <c r="U7" s="101">
        <v>788</v>
      </c>
    </row>
    <row r="8" spans="1:22" x14ac:dyDescent="0.2">
      <c r="A8" s="101">
        <v>1350</v>
      </c>
      <c r="B8" s="101">
        <v>239</v>
      </c>
      <c r="C8" s="101">
        <v>290</v>
      </c>
      <c r="D8" s="101">
        <v>584</v>
      </c>
      <c r="E8" s="101">
        <v>603</v>
      </c>
      <c r="F8" s="101">
        <v>704</v>
      </c>
      <c r="G8" s="101">
        <v>751</v>
      </c>
      <c r="H8" s="101">
        <v>776</v>
      </c>
      <c r="I8" s="101">
        <v>891</v>
      </c>
      <c r="M8" s="101">
        <v>1500</v>
      </c>
      <c r="N8" s="101">
        <v>300</v>
      </c>
      <c r="O8" s="101">
        <v>403</v>
      </c>
      <c r="P8" s="101">
        <v>516</v>
      </c>
      <c r="Q8" s="101">
        <v>568</v>
      </c>
      <c r="R8" s="101">
        <v>633</v>
      </c>
      <c r="S8" s="101">
        <v>677</v>
      </c>
      <c r="T8" s="101">
        <v>768</v>
      </c>
      <c r="U8" s="101">
        <v>860</v>
      </c>
    </row>
    <row r="9" spans="1:22" x14ac:dyDescent="0.2">
      <c r="A9" s="101">
        <v>1550</v>
      </c>
      <c r="B9" s="101">
        <v>287</v>
      </c>
      <c r="C9" s="101">
        <v>347</v>
      </c>
      <c r="D9" s="101">
        <v>701</v>
      </c>
      <c r="E9" s="101">
        <v>723</v>
      </c>
      <c r="F9" s="101">
        <v>845</v>
      </c>
      <c r="G9" s="101">
        <v>901</v>
      </c>
      <c r="H9" s="101">
        <v>932</v>
      </c>
      <c r="I9" s="101">
        <v>1070</v>
      </c>
      <c r="M9" s="101">
        <v>1600</v>
      </c>
      <c r="N9" s="101">
        <v>325</v>
      </c>
      <c r="O9" s="101">
        <v>437</v>
      </c>
      <c r="P9" s="101">
        <v>559</v>
      </c>
      <c r="Q9" s="101">
        <v>616</v>
      </c>
      <c r="R9" s="101">
        <v>686</v>
      </c>
      <c r="S9" s="101">
        <v>734</v>
      </c>
      <c r="T9" s="101">
        <v>832</v>
      </c>
      <c r="U9" s="101">
        <v>931</v>
      </c>
    </row>
    <row r="10" spans="1:22" x14ac:dyDescent="0.2">
      <c r="A10" s="101">
        <v>1750</v>
      </c>
      <c r="B10" s="101">
        <v>335</v>
      </c>
      <c r="C10" s="101">
        <v>406</v>
      </c>
      <c r="D10" s="101">
        <v>818</v>
      </c>
      <c r="E10" s="101">
        <v>844</v>
      </c>
      <c r="F10" s="101">
        <v>986</v>
      </c>
      <c r="G10" s="101">
        <v>1051</v>
      </c>
      <c r="H10" s="101">
        <v>1086</v>
      </c>
      <c r="I10" s="101">
        <v>1247</v>
      </c>
      <c r="M10" s="101">
        <v>1700</v>
      </c>
      <c r="N10" s="101">
        <v>350</v>
      </c>
      <c r="O10" s="101">
        <v>470</v>
      </c>
      <c r="P10" s="101">
        <v>602</v>
      </c>
      <c r="Q10" s="101">
        <v>663</v>
      </c>
      <c r="R10" s="101">
        <v>739</v>
      </c>
      <c r="S10" s="101">
        <v>790</v>
      </c>
      <c r="T10" s="101">
        <v>896</v>
      </c>
      <c r="U10" s="101">
        <v>1003</v>
      </c>
    </row>
    <row r="11" spans="1:22" x14ac:dyDescent="0.2">
      <c r="A11" s="101">
        <v>1950</v>
      </c>
      <c r="B11" s="101">
        <v>383</v>
      </c>
      <c r="C11" s="101">
        <v>463</v>
      </c>
      <c r="D11" s="101">
        <v>935</v>
      </c>
      <c r="E11" s="101">
        <v>964</v>
      </c>
      <c r="F11" s="101">
        <v>1127</v>
      </c>
      <c r="G11" s="101">
        <v>1201</v>
      </c>
      <c r="H11" s="101">
        <v>1242</v>
      </c>
      <c r="I11" s="101">
        <v>1426</v>
      </c>
      <c r="M11" s="101">
        <v>1850</v>
      </c>
      <c r="N11" s="101">
        <v>388</v>
      </c>
      <c r="O11" s="101">
        <v>521</v>
      </c>
      <c r="P11" s="101">
        <v>667</v>
      </c>
      <c r="Q11" s="101">
        <v>734</v>
      </c>
      <c r="R11" s="101">
        <v>818</v>
      </c>
      <c r="S11" s="101">
        <v>875</v>
      </c>
      <c r="T11" s="101">
        <v>992</v>
      </c>
      <c r="U11" s="101">
        <v>1111</v>
      </c>
    </row>
    <row r="12" spans="1:22" x14ac:dyDescent="0.2">
      <c r="A12" s="101">
        <v>2150</v>
      </c>
      <c r="B12" s="101">
        <v>431</v>
      </c>
      <c r="C12" s="101">
        <v>522</v>
      </c>
      <c r="D12" s="101">
        <v>1052</v>
      </c>
      <c r="E12" s="101">
        <v>1085</v>
      </c>
      <c r="F12" s="101">
        <v>1268</v>
      </c>
      <c r="G12" s="101">
        <v>1351</v>
      </c>
      <c r="H12" s="101">
        <v>1396</v>
      </c>
      <c r="I12" s="101">
        <v>1603</v>
      </c>
      <c r="M12" s="101">
        <v>2000</v>
      </c>
      <c r="N12" s="101">
        <v>425</v>
      </c>
      <c r="O12" s="101">
        <v>571</v>
      </c>
      <c r="P12" s="101">
        <v>731</v>
      </c>
      <c r="Q12" s="101">
        <v>805</v>
      </c>
      <c r="R12" s="101">
        <v>897</v>
      </c>
      <c r="S12" s="101">
        <v>960</v>
      </c>
      <c r="T12" s="101">
        <v>1088</v>
      </c>
      <c r="U12" s="101">
        <v>1218</v>
      </c>
    </row>
    <row r="13" spans="1:22" x14ac:dyDescent="0.2">
      <c r="A13" s="101">
        <v>2350</v>
      </c>
      <c r="B13" s="101">
        <v>479</v>
      </c>
      <c r="C13" s="101">
        <v>580</v>
      </c>
      <c r="D13" s="101">
        <v>1169</v>
      </c>
      <c r="E13" s="101">
        <v>1205</v>
      </c>
      <c r="F13" s="101">
        <v>1409</v>
      </c>
      <c r="G13" s="101">
        <v>1502</v>
      </c>
      <c r="H13" s="101">
        <v>1552</v>
      </c>
      <c r="I13" s="101">
        <v>1782</v>
      </c>
      <c r="M13" s="101">
        <v>2150</v>
      </c>
      <c r="N13" s="101">
        <v>463</v>
      </c>
      <c r="O13" s="101">
        <v>622</v>
      </c>
      <c r="P13" s="101">
        <v>796</v>
      </c>
      <c r="Q13" s="101">
        <v>876</v>
      </c>
      <c r="R13" s="101">
        <v>976</v>
      </c>
      <c r="S13" s="101">
        <v>1044</v>
      </c>
      <c r="T13" s="101">
        <v>1184</v>
      </c>
      <c r="U13" s="101">
        <v>1326</v>
      </c>
    </row>
    <row r="14" spans="1:22" x14ac:dyDescent="0.2">
      <c r="A14" s="101">
        <v>2550</v>
      </c>
      <c r="B14" s="101">
        <v>526</v>
      </c>
      <c r="C14" s="101">
        <v>637</v>
      </c>
      <c r="D14" s="101">
        <v>1285</v>
      </c>
      <c r="E14" s="101">
        <v>1326</v>
      </c>
      <c r="F14" s="101">
        <v>1550</v>
      </c>
      <c r="G14" s="101">
        <v>1652</v>
      </c>
      <c r="H14" s="101">
        <v>1707</v>
      </c>
      <c r="I14" s="101">
        <v>1960</v>
      </c>
      <c r="M14" s="101">
        <v>2300</v>
      </c>
      <c r="N14" s="101">
        <v>500</v>
      </c>
      <c r="O14" s="101">
        <v>672</v>
      </c>
      <c r="P14" s="101">
        <v>860</v>
      </c>
      <c r="Q14" s="101">
        <v>947</v>
      </c>
      <c r="R14" s="101">
        <v>1055</v>
      </c>
      <c r="S14" s="101">
        <v>1129</v>
      </c>
      <c r="T14" s="101">
        <v>1279</v>
      </c>
      <c r="U14" s="101">
        <v>1433</v>
      </c>
    </row>
    <row r="15" spans="1:22" x14ac:dyDescent="0.2">
      <c r="A15" s="101">
        <v>2750</v>
      </c>
      <c r="B15" s="101">
        <v>575</v>
      </c>
      <c r="C15" s="101">
        <v>696</v>
      </c>
      <c r="D15" s="101">
        <v>1402</v>
      </c>
      <c r="E15" s="101">
        <v>1446</v>
      </c>
      <c r="F15" s="101">
        <v>1691</v>
      </c>
      <c r="G15" s="101">
        <v>1802</v>
      </c>
      <c r="H15" s="101">
        <v>1862</v>
      </c>
      <c r="I15" s="101">
        <v>2138</v>
      </c>
      <c r="M15" s="101">
        <v>2450</v>
      </c>
      <c r="N15" s="101">
        <v>538</v>
      </c>
      <c r="O15" s="101">
        <v>722</v>
      </c>
      <c r="P15" s="101">
        <v>925</v>
      </c>
      <c r="Q15" s="101">
        <v>1018</v>
      </c>
      <c r="R15" s="101">
        <v>1134</v>
      </c>
      <c r="S15" s="101">
        <v>1214</v>
      </c>
      <c r="T15" s="101">
        <v>1375</v>
      </c>
      <c r="U15" s="101">
        <v>1540</v>
      </c>
    </row>
    <row r="16" spans="1:22" x14ac:dyDescent="0.2">
      <c r="A16" s="101">
        <v>2950</v>
      </c>
      <c r="B16" s="101">
        <v>622</v>
      </c>
      <c r="C16" s="101">
        <v>753</v>
      </c>
      <c r="D16" s="101">
        <v>1519</v>
      </c>
      <c r="E16" s="101">
        <v>1567</v>
      </c>
      <c r="F16" s="101">
        <v>1831</v>
      </c>
      <c r="G16" s="101">
        <v>1952</v>
      </c>
      <c r="H16" s="101">
        <v>2018</v>
      </c>
      <c r="I16" s="101">
        <v>2317</v>
      </c>
      <c r="M16" s="101">
        <v>2600</v>
      </c>
      <c r="N16" s="101">
        <v>575</v>
      </c>
      <c r="O16" s="101">
        <v>773</v>
      </c>
      <c r="P16" s="101">
        <v>989</v>
      </c>
      <c r="Q16" s="101">
        <v>1089</v>
      </c>
      <c r="R16" s="101">
        <v>1213</v>
      </c>
      <c r="S16" s="101">
        <v>1298</v>
      </c>
      <c r="T16" s="101">
        <v>1471</v>
      </c>
      <c r="U16" s="101">
        <v>1648</v>
      </c>
    </row>
    <row r="17" spans="1:21" x14ac:dyDescent="0.2">
      <c r="A17" s="101">
        <v>3150</v>
      </c>
      <c r="B17" s="101">
        <v>671</v>
      </c>
      <c r="C17" s="101">
        <v>812</v>
      </c>
      <c r="D17" s="101">
        <v>1636</v>
      </c>
      <c r="E17" s="101">
        <v>1688</v>
      </c>
      <c r="F17" s="101">
        <v>1972</v>
      </c>
      <c r="G17" s="101">
        <v>2102</v>
      </c>
      <c r="H17" s="101">
        <v>2172</v>
      </c>
      <c r="I17" s="101">
        <v>2494</v>
      </c>
      <c r="M17" s="101">
        <v>2750</v>
      </c>
      <c r="N17" s="101">
        <v>613</v>
      </c>
      <c r="O17" s="101">
        <v>823</v>
      </c>
      <c r="P17" s="101">
        <v>1054</v>
      </c>
      <c r="Q17" s="101">
        <v>1160</v>
      </c>
      <c r="R17" s="101">
        <v>1292</v>
      </c>
      <c r="S17" s="101">
        <v>1383</v>
      </c>
      <c r="T17" s="101">
        <v>1567</v>
      </c>
      <c r="U17" s="101">
        <v>1755</v>
      </c>
    </row>
    <row r="18" spans="1:21" x14ac:dyDescent="0.2">
      <c r="A18" s="101">
        <v>3350</v>
      </c>
      <c r="B18" s="101">
        <v>718</v>
      </c>
      <c r="C18" s="101">
        <v>869</v>
      </c>
      <c r="D18" s="101">
        <v>1753</v>
      </c>
      <c r="E18" s="101">
        <v>1808</v>
      </c>
      <c r="F18" s="101">
        <v>2113</v>
      </c>
      <c r="G18" s="101">
        <v>2252</v>
      </c>
      <c r="H18" s="101">
        <v>2328</v>
      </c>
      <c r="I18" s="101">
        <v>2673</v>
      </c>
      <c r="M18" s="101">
        <v>2900</v>
      </c>
      <c r="N18" s="101">
        <v>650</v>
      </c>
      <c r="O18" s="101">
        <v>874</v>
      </c>
      <c r="P18" s="101">
        <v>1118</v>
      </c>
      <c r="Q18" s="101">
        <v>1231</v>
      </c>
      <c r="R18" s="101">
        <v>1372</v>
      </c>
      <c r="S18" s="101">
        <v>1468</v>
      </c>
      <c r="T18" s="101">
        <v>1663</v>
      </c>
      <c r="U18" s="101">
        <v>1863</v>
      </c>
    </row>
    <row r="19" spans="1:21" x14ac:dyDescent="0.2">
      <c r="A19" s="101">
        <v>3550</v>
      </c>
      <c r="B19" s="101">
        <v>766</v>
      </c>
      <c r="C19" s="101">
        <v>927</v>
      </c>
      <c r="D19" s="101">
        <v>1870</v>
      </c>
      <c r="E19" s="101">
        <v>1929</v>
      </c>
      <c r="F19" s="101">
        <v>2254</v>
      </c>
      <c r="G19" s="101">
        <v>2403</v>
      </c>
      <c r="H19" s="101">
        <v>2483</v>
      </c>
      <c r="I19" s="101">
        <v>2851</v>
      </c>
      <c r="M19" s="101">
        <v>3050</v>
      </c>
      <c r="N19" s="101">
        <v>688</v>
      </c>
      <c r="O19" s="101">
        <v>924</v>
      </c>
      <c r="P19" s="101">
        <v>1183</v>
      </c>
      <c r="Q19" s="101">
        <v>1302</v>
      </c>
      <c r="R19" s="101">
        <v>1451</v>
      </c>
      <c r="S19" s="101">
        <v>1552</v>
      </c>
      <c r="T19" s="101">
        <v>1759</v>
      </c>
      <c r="U19" s="101">
        <v>1970</v>
      </c>
    </row>
    <row r="20" spans="1:21" x14ac:dyDescent="0.2">
      <c r="A20" s="101">
        <v>3750</v>
      </c>
      <c r="B20" s="101">
        <v>814</v>
      </c>
      <c r="C20" s="101">
        <v>986</v>
      </c>
      <c r="D20" s="101">
        <v>1986</v>
      </c>
      <c r="E20" s="101">
        <v>2049</v>
      </c>
      <c r="F20" s="101">
        <v>2395</v>
      </c>
      <c r="G20" s="101">
        <v>2553</v>
      </c>
      <c r="H20" s="101">
        <v>2638</v>
      </c>
      <c r="I20" s="101">
        <v>3029</v>
      </c>
      <c r="M20" s="101">
        <v>3200</v>
      </c>
      <c r="N20" s="101">
        <v>725</v>
      </c>
      <c r="O20" s="101">
        <v>974</v>
      </c>
      <c r="P20" s="101">
        <v>1247</v>
      </c>
      <c r="Q20" s="101">
        <v>1373</v>
      </c>
      <c r="R20" s="101">
        <v>1530</v>
      </c>
      <c r="S20" s="101">
        <v>1637</v>
      </c>
      <c r="T20" s="101">
        <v>1855</v>
      </c>
      <c r="U20" s="101">
        <v>2078</v>
      </c>
    </row>
    <row r="21" spans="1:21" x14ac:dyDescent="0.2">
      <c r="A21" s="101">
        <v>3950</v>
      </c>
      <c r="B21" s="101">
        <v>862</v>
      </c>
      <c r="C21" s="101">
        <v>1043</v>
      </c>
      <c r="D21" s="101">
        <v>2103</v>
      </c>
      <c r="E21" s="101">
        <v>2170</v>
      </c>
      <c r="F21" s="101">
        <v>2535</v>
      </c>
      <c r="G21" s="101">
        <v>2702</v>
      </c>
      <c r="H21" s="101">
        <v>2794</v>
      </c>
      <c r="I21" s="101">
        <v>3208</v>
      </c>
      <c r="M21" s="101">
        <v>3350</v>
      </c>
      <c r="N21" s="101">
        <v>763</v>
      </c>
      <c r="O21" s="101">
        <v>1025</v>
      </c>
      <c r="P21" s="101">
        <v>1312</v>
      </c>
      <c r="Q21" s="101">
        <v>1444</v>
      </c>
      <c r="R21" s="101">
        <v>1609</v>
      </c>
      <c r="S21" s="101">
        <v>1721</v>
      </c>
      <c r="T21" s="101">
        <v>1951</v>
      </c>
      <c r="U21" s="101">
        <v>2185</v>
      </c>
    </row>
    <row r="22" spans="1:21" x14ac:dyDescent="0.2">
      <c r="M22" s="101">
        <v>3500</v>
      </c>
      <c r="N22" s="101">
        <v>800</v>
      </c>
      <c r="O22" s="101">
        <v>1075</v>
      </c>
      <c r="P22" s="101">
        <v>1376</v>
      </c>
      <c r="Q22" s="101">
        <v>1515</v>
      </c>
      <c r="R22" s="101">
        <v>1688</v>
      </c>
      <c r="S22" s="101">
        <v>1806</v>
      </c>
      <c r="T22" s="101">
        <v>2047</v>
      </c>
      <c r="U22" s="101">
        <v>2293</v>
      </c>
    </row>
    <row r="23" spans="1:21" x14ac:dyDescent="0.2">
      <c r="M23" s="101">
        <v>3650</v>
      </c>
      <c r="N23" s="101">
        <v>838</v>
      </c>
      <c r="O23" s="101">
        <v>1126</v>
      </c>
      <c r="P23" s="101">
        <v>1441</v>
      </c>
      <c r="Q23" s="101">
        <v>1586</v>
      </c>
      <c r="R23" s="101">
        <v>1767</v>
      </c>
      <c r="S23" s="101">
        <v>1891</v>
      </c>
      <c r="T23" s="101">
        <v>2143</v>
      </c>
      <c r="U23" s="101">
        <v>2400</v>
      </c>
    </row>
    <row r="24" spans="1:21" x14ac:dyDescent="0.2">
      <c r="M24" s="101">
        <v>3800</v>
      </c>
      <c r="N24" s="101">
        <v>875</v>
      </c>
      <c r="O24" s="101">
        <v>1176</v>
      </c>
      <c r="P24" s="101">
        <v>1505</v>
      </c>
      <c r="Q24" s="101">
        <v>1657</v>
      </c>
      <c r="R24" s="101">
        <v>1846</v>
      </c>
      <c r="S24" s="101">
        <v>1975</v>
      </c>
      <c r="T24" s="101">
        <v>2239</v>
      </c>
      <c r="U24" s="101">
        <v>2508</v>
      </c>
    </row>
    <row r="25" spans="1:21" x14ac:dyDescent="0.2">
      <c r="M25" s="101">
        <v>3950</v>
      </c>
      <c r="N25" s="101">
        <v>913</v>
      </c>
      <c r="O25" s="101">
        <v>1226</v>
      </c>
      <c r="P25" s="101">
        <v>1570</v>
      </c>
      <c r="Q25" s="101">
        <v>1728</v>
      </c>
      <c r="R25" s="101">
        <v>1925</v>
      </c>
      <c r="S25" s="101">
        <v>2060</v>
      </c>
      <c r="T25" s="101">
        <v>2335</v>
      </c>
      <c r="U25" s="101">
        <v>2615</v>
      </c>
    </row>
    <row r="26" spans="1:21" x14ac:dyDescent="0.2">
      <c r="M26" s="101">
        <v>4100</v>
      </c>
      <c r="N26" s="101">
        <v>950</v>
      </c>
      <c r="O26" s="101">
        <v>1277</v>
      </c>
      <c r="P26" s="101">
        <v>1634</v>
      </c>
      <c r="Q26" s="101">
        <v>1799</v>
      </c>
      <c r="R26" s="101">
        <v>2005</v>
      </c>
      <c r="S26" s="101">
        <v>2145</v>
      </c>
      <c r="T26" s="101">
        <v>2431</v>
      </c>
      <c r="U26" s="101">
        <v>2723</v>
      </c>
    </row>
    <row r="27" spans="1:21" x14ac:dyDescent="0.2">
      <c r="M27" s="101">
        <v>4250</v>
      </c>
      <c r="N27" s="101">
        <v>988</v>
      </c>
      <c r="O27" s="101">
        <v>1327</v>
      </c>
      <c r="P27" s="101">
        <v>1699</v>
      </c>
      <c r="Q27" s="101">
        <v>1870</v>
      </c>
      <c r="R27" s="101">
        <v>2084</v>
      </c>
      <c r="S27" s="101">
        <v>2229</v>
      </c>
      <c r="T27" s="101">
        <v>2527</v>
      </c>
      <c r="U27" s="101">
        <v>2830</v>
      </c>
    </row>
    <row r="28" spans="1:21" x14ac:dyDescent="0.2">
      <c r="M28" s="101">
        <v>4400</v>
      </c>
      <c r="N28" s="101">
        <v>1025</v>
      </c>
      <c r="O28" s="101">
        <v>1378</v>
      </c>
      <c r="P28" s="101">
        <v>1763</v>
      </c>
      <c r="Q28" s="101">
        <v>1941</v>
      </c>
      <c r="R28" s="101">
        <v>2163</v>
      </c>
      <c r="S28" s="101">
        <v>2314</v>
      </c>
      <c r="T28" s="101">
        <v>2623</v>
      </c>
      <c r="U28" s="101">
        <v>2938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C467C-133B-4F19-964E-E3F85383E3CA}">
  <dimension ref="A1:K63"/>
  <sheetViews>
    <sheetView showGridLines="0" showRowColHeaders="0" workbookViewId="0">
      <selection activeCell="G3" sqref="G3:H3"/>
    </sheetView>
  </sheetViews>
  <sheetFormatPr baseColWidth="10" defaultColWidth="0" defaultRowHeight="12.75" zeroHeight="1" x14ac:dyDescent="0.2"/>
  <cols>
    <col min="1" max="1" width="2.7109375" style="101" customWidth="1"/>
    <col min="2" max="2" width="3.42578125" style="101" customWidth="1"/>
    <col min="3" max="3" width="6.7109375" style="140" customWidth="1"/>
    <col min="4" max="9" width="11.7109375" style="140" customWidth="1"/>
    <col min="10" max="10" width="11.7109375" style="101" customWidth="1"/>
    <col min="11" max="11" width="2.7109375" style="101" customWidth="1"/>
    <col min="12" max="16384" width="11.42578125" style="101" hidden="1"/>
  </cols>
  <sheetData>
    <row r="1" spans="2:11" x14ac:dyDescent="0.2"/>
    <row r="2" spans="2:11" ht="15" x14ac:dyDescent="0.25">
      <c r="B2"/>
      <c r="C2" s="101"/>
      <c r="D2" s="481" t="s">
        <v>936</v>
      </c>
      <c r="E2" s="481"/>
      <c r="F2" s="283" t="s">
        <v>938</v>
      </c>
      <c r="G2" s="83"/>
    </row>
    <row r="3" spans="2:11" ht="23.25" x14ac:dyDescent="0.35">
      <c r="B3" s="453" t="s">
        <v>933</v>
      </c>
      <c r="C3" s="453"/>
      <c r="D3" s="480">
        <v>75</v>
      </c>
      <c r="E3" s="480"/>
      <c r="F3" s="432">
        <v>2</v>
      </c>
      <c r="G3" s="288"/>
    </row>
    <row r="4" spans="2:11" ht="23.25" x14ac:dyDescent="0.35">
      <c r="B4" s="453" t="s">
        <v>934</v>
      </c>
      <c r="C4" s="453"/>
      <c r="D4" s="480">
        <v>65</v>
      </c>
      <c r="E4" s="480"/>
      <c r="F4" s="432"/>
      <c r="G4" s="288"/>
      <c r="H4" s="287" t="str">
        <f>IF(OR((D3-D4)&lt;3,(D4-D5)&lt;3,(D3-D4)&gt;25,D5&lt;15,ISERROR(D17)),"Bitte überprüfen Sie ihre Eingaben!","")</f>
        <v/>
      </c>
    </row>
    <row r="5" spans="2:11" ht="23.25" x14ac:dyDescent="0.35">
      <c r="B5" s="453" t="s">
        <v>935</v>
      </c>
      <c r="C5" s="453"/>
      <c r="D5" s="480">
        <v>20</v>
      </c>
      <c r="E5" s="480"/>
      <c r="F5" s="432"/>
      <c r="G5" s="288"/>
    </row>
    <row r="6" spans="2:11" x14ac:dyDescent="0.2"/>
    <row r="7" spans="2:11" ht="25.5" customHeight="1" x14ac:dyDescent="0.4">
      <c r="B7" s="171" t="str">
        <f>CONCATENATE(VLOOKUP(48,TXT,$F$3,0),"  POWER+")</f>
        <v>Bodenkonvektor Modell LIB-090  POWER+</v>
      </c>
      <c r="C7" s="260"/>
      <c r="D7" s="260"/>
      <c r="E7" s="260"/>
      <c r="F7" s="260"/>
      <c r="G7" s="261"/>
      <c r="H7" s="260"/>
      <c r="I7" s="260"/>
      <c r="J7" s="261"/>
      <c r="K7" s="170"/>
    </row>
    <row r="8" spans="2:11" ht="17.25" customHeight="1" x14ac:dyDescent="0.4">
      <c r="B8" s="172" t="str">
        <f>VLOOKUP(47,TXT,$F$3,0)</f>
        <v>für freie Konvektion</v>
      </c>
      <c r="C8" s="262"/>
      <c r="D8" s="262"/>
      <c r="E8" s="262"/>
      <c r="F8" s="262"/>
      <c r="G8" s="263"/>
      <c r="H8" s="262"/>
      <c r="I8" s="262"/>
      <c r="J8" s="263"/>
      <c r="K8" s="170"/>
    </row>
    <row r="9" spans="2:11" x14ac:dyDescent="0.2"/>
    <row r="10" spans="2:11" ht="23.25" x14ac:dyDescent="0.2">
      <c r="B10" s="487" t="str">
        <f>VLOOKUP(10,TXT,$F$3,0)</f>
        <v>Heizmedium</v>
      </c>
      <c r="C10" s="487"/>
      <c r="D10" s="488" t="str">
        <f>CONCATENATE(D3,"° / ",D4," °C")</f>
        <v>75° / 65 °C</v>
      </c>
      <c r="E10" s="488"/>
      <c r="F10" s="488"/>
      <c r="G10" s="489">
        <f>SUM(D5)</f>
        <v>20</v>
      </c>
      <c r="H10" s="489"/>
      <c r="I10" s="490"/>
      <c r="J10" s="490"/>
    </row>
    <row r="11" spans="2:11" x14ac:dyDescent="0.2"/>
    <row r="12" spans="2:11" ht="17.25" customHeight="1" x14ac:dyDescent="0.25">
      <c r="B12" s="491" t="str">
        <f>VLOOKUP(9,TXT,$F$3,0)</f>
        <v>Modell</v>
      </c>
      <c r="C12" s="491"/>
      <c r="D12" s="264" t="s">
        <v>1387</v>
      </c>
      <c r="E12" s="264" t="s">
        <v>1388</v>
      </c>
      <c r="F12" s="264" t="s">
        <v>1389</v>
      </c>
      <c r="G12" s="264" t="s">
        <v>1390</v>
      </c>
      <c r="H12" s="264" t="s">
        <v>1391</v>
      </c>
      <c r="I12" s="264" t="s">
        <v>1392</v>
      </c>
      <c r="J12" s="264" t="s">
        <v>1393</v>
      </c>
    </row>
    <row r="13" spans="2:11" x14ac:dyDescent="0.2">
      <c r="B13" s="492" t="s">
        <v>1351</v>
      </c>
      <c r="C13" s="492"/>
      <c r="D13" s="265">
        <v>176</v>
      </c>
      <c r="E13" s="265">
        <v>224</v>
      </c>
      <c r="F13" s="265">
        <v>240</v>
      </c>
      <c r="G13" s="265">
        <v>272</v>
      </c>
      <c r="H13" s="265">
        <v>304</v>
      </c>
      <c r="I13" s="265">
        <v>336</v>
      </c>
      <c r="J13" s="265">
        <v>368</v>
      </c>
    </row>
    <row r="14" spans="2:11" x14ac:dyDescent="0.2">
      <c r="B14" s="492" t="s">
        <v>1352</v>
      </c>
      <c r="C14" s="492"/>
      <c r="D14" s="265">
        <v>90</v>
      </c>
      <c r="E14" s="265">
        <v>90</v>
      </c>
      <c r="F14" s="265">
        <v>90</v>
      </c>
      <c r="G14" s="265">
        <v>90</v>
      </c>
      <c r="H14" s="265">
        <v>90</v>
      </c>
      <c r="I14" s="265">
        <v>90</v>
      </c>
      <c r="J14" s="265">
        <v>90</v>
      </c>
    </row>
    <row r="15" spans="2:11" x14ac:dyDescent="0.2">
      <c r="B15" s="266"/>
      <c r="C15" s="266"/>
      <c r="D15" s="265" t="s">
        <v>1394</v>
      </c>
      <c r="E15" s="265" t="s">
        <v>1394</v>
      </c>
      <c r="F15" s="265" t="s">
        <v>1394</v>
      </c>
      <c r="G15" s="265" t="s">
        <v>1395</v>
      </c>
      <c r="H15" s="265" t="s">
        <v>1395</v>
      </c>
      <c r="I15" s="265" t="s">
        <v>1396</v>
      </c>
      <c r="J15" s="265" t="s">
        <v>1396</v>
      </c>
    </row>
    <row r="16" spans="2:11" ht="18.75" customHeight="1" x14ac:dyDescent="0.2">
      <c r="B16" s="492" t="s">
        <v>1356</v>
      </c>
      <c r="C16" s="492"/>
      <c r="D16" s="485" t="str">
        <f>VLOOKUP(13,TXT,$F$3,0)</f>
        <v>Leistungen [W]</v>
      </c>
      <c r="E16" s="485"/>
      <c r="F16" s="485"/>
      <c r="G16" s="485" t="str">
        <f>VLOOKUP(45,TXT,$F$3,0)</f>
        <v>Wassermassenstrom [kg/h] *</v>
      </c>
      <c r="H16" s="485"/>
      <c r="I16" s="485"/>
      <c r="J16" s="486"/>
    </row>
    <row r="17" spans="2:10" ht="12.75" customHeight="1" x14ac:dyDescent="0.2">
      <c r="B17" s="484">
        <v>750</v>
      </c>
      <c r="C17" s="484"/>
      <c r="D17" s="175">
        <f>ROUND('BASE-C90POWER'!C2*(VLOOKUP(ROUND(((($D$3+$D$4)/2)-$D$5),3),FAKT_C109,2,-1)),0)</f>
        <v>104</v>
      </c>
      <c r="E17" s="175">
        <f>ROUND('BASE-C90POWER'!D2*(VLOOKUP(ROUND(((($D$3+$D$4)/2)-$D$5),3),FAKT_C109,2,-1)),0)</f>
        <v>125</v>
      </c>
      <c r="F17" s="175">
        <f>ROUND('BASE-C90POWER'!E2*(VLOOKUP(ROUND(((($D$3+$D$4)/2)-$D$5),3),FAKT_C109,2,-1)),0)</f>
        <v>129</v>
      </c>
      <c r="G17" s="175">
        <f>ROUND('BASE-C90POWER'!F2*(VLOOKUP(ROUND(((($D$3+$D$4)/2)-$D$5),3),FAKT_C109,2,-1)),0)</f>
        <v>158</v>
      </c>
      <c r="H17" s="175">
        <f>ROUND('BASE-C90POWER'!G2*(VLOOKUP(ROUND(((($D$3+$D$4)/2)-$D$5),3),FAKT_C109,2,-1)),0)</f>
        <v>169</v>
      </c>
      <c r="I17" s="175">
        <f>ROUND('BASE-C90POWER'!H2*(VLOOKUP(ROUND(((($D$3+$D$4)/2)-$D$5),3),FAKT_C109,2,-1)),0)</f>
        <v>186</v>
      </c>
      <c r="J17" s="176">
        <f>ROUND('BASE-C90POWER'!I2*(VLOOKUP(ROUND(((($D$3+$D$4)/2)-$D$5),3),FAKT_C109,2,-1)),0)</f>
        <v>214</v>
      </c>
    </row>
    <row r="18" spans="2:10" ht="12.75" customHeight="1" x14ac:dyDescent="0.2">
      <c r="B18" s="484"/>
      <c r="C18" s="484"/>
      <c r="D18" s="177">
        <f t="shared" ref="D18:J18" si="0">ROUNDDOWN(D17/(1.161*($D$3-$D$4)),0)</f>
        <v>8</v>
      </c>
      <c r="E18" s="177">
        <f t="shared" si="0"/>
        <v>10</v>
      </c>
      <c r="F18" s="177">
        <f t="shared" si="0"/>
        <v>11</v>
      </c>
      <c r="G18" s="177">
        <f t="shared" si="0"/>
        <v>13</v>
      </c>
      <c r="H18" s="177">
        <f t="shared" si="0"/>
        <v>14</v>
      </c>
      <c r="I18" s="177">
        <f t="shared" si="0"/>
        <v>16</v>
      </c>
      <c r="J18" s="178">
        <f t="shared" si="0"/>
        <v>18</v>
      </c>
    </row>
    <row r="19" spans="2:10" ht="12.75" customHeight="1" x14ac:dyDescent="0.2">
      <c r="B19" s="483">
        <v>850</v>
      </c>
      <c r="C19" s="483">
        <v>1000</v>
      </c>
      <c r="D19" s="267">
        <f>ROUND('BASE-C90POWER'!C3*(VLOOKUP(ROUND(((($D$3+$D$4)/2)-$D$5),3),FAKT_C109,2,-1)),0)</f>
        <v>130</v>
      </c>
      <c r="E19" s="267">
        <f>ROUND('BASE-C90POWER'!D3*(VLOOKUP(ROUND(((($D$3+$D$4)/2)-$D$5),3),FAKT_C109,2,-1)),0)</f>
        <v>158</v>
      </c>
      <c r="F19" s="267">
        <f>ROUND('BASE-C90POWER'!E3*(VLOOKUP(ROUND(((($D$3+$D$4)/2)-$D$5),3),FAKT_C109,2,-1)),0)</f>
        <v>163</v>
      </c>
      <c r="G19" s="267">
        <f>ROUND('BASE-C90POWER'!F3*(VLOOKUP(ROUND(((($D$3+$D$4)/2)-$D$5),3),FAKT_C109,2,-1)),0)</f>
        <v>198</v>
      </c>
      <c r="H19" s="267">
        <f>ROUND('BASE-C90POWER'!G3*(VLOOKUP(ROUND(((($D$3+$D$4)/2)-$D$5),3),FAKT_C109,2,-1)),0)</f>
        <v>211</v>
      </c>
      <c r="I19" s="267">
        <f>ROUND('BASE-C90POWER'!H3*(VLOOKUP(ROUND(((($D$3+$D$4)/2)-$D$5),3),FAKT_C109,2,-1)),0)</f>
        <v>232</v>
      </c>
      <c r="J19" s="268">
        <f>ROUND('BASE-C90POWER'!I3*(VLOOKUP(ROUND(((($D$3+$D$4)/2)-$D$5),3),FAKT_C109,2,-1)),0)</f>
        <v>267</v>
      </c>
    </row>
    <row r="20" spans="2:10" ht="12.75" customHeight="1" x14ac:dyDescent="0.2">
      <c r="B20" s="483"/>
      <c r="C20" s="483"/>
      <c r="D20" s="269">
        <f t="shared" ref="D20:J20" si="1">ROUNDDOWN(D19/(1.161*($D$3-$D$4)),0)</f>
        <v>11</v>
      </c>
      <c r="E20" s="269">
        <f t="shared" si="1"/>
        <v>13</v>
      </c>
      <c r="F20" s="269">
        <f t="shared" si="1"/>
        <v>14</v>
      </c>
      <c r="G20" s="269">
        <f t="shared" si="1"/>
        <v>17</v>
      </c>
      <c r="H20" s="269">
        <f t="shared" si="1"/>
        <v>18</v>
      </c>
      <c r="I20" s="269">
        <f t="shared" si="1"/>
        <v>19</v>
      </c>
      <c r="J20" s="270">
        <f t="shared" si="1"/>
        <v>22</v>
      </c>
    </row>
    <row r="21" spans="2:10" ht="12.75" customHeight="1" x14ac:dyDescent="0.2">
      <c r="B21" s="482">
        <v>950</v>
      </c>
      <c r="C21" s="482"/>
      <c r="D21" s="175">
        <f>ROUND('BASE-C90POWER'!C4*(VLOOKUP(ROUND(((($D$3+$D$4)/2)-$D$5),3),FAKT_C109,2,-1)),0)</f>
        <v>156</v>
      </c>
      <c r="E21" s="175">
        <f>ROUND('BASE-C90POWER'!D4*(VLOOKUP(ROUND(((($D$3+$D$4)/2)-$D$5),3),FAKT_C109,2,-1)),0)</f>
        <v>189</v>
      </c>
      <c r="F21" s="175">
        <f>ROUND('BASE-C90POWER'!E4*(VLOOKUP(ROUND(((($D$3+$D$4)/2)-$D$5),3),FAKT_C109,2,-1)),0)</f>
        <v>195</v>
      </c>
      <c r="G21" s="175">
        <f>ROUND('BASE-C90POWER'!F4*(VLOOKUP(ROUND(((($D$3+$D$4)/2)-$D$5),3),FAKT_C109,2,-1)),0)</f>
        <v>238</v>
      </c>
      <c r="H21" s="175">
        <f>ROUND('BASE-C90POWER'!G4*(VLOOKUP(ROUND(((($D$3+$D$4)/2)-$D$5),3),FAKT_C109,2,-1)),0)</f>
        <v>254</v>
      </c>
      <c r="I21" s="175">
        <f>ROUND('BASE-C90POWER'!H4*(VLOOKUP(ROUND(((($D$3+$D$4)/2)-$D$5),3),FAKT_C109,2,-1)),0)</f>
        <v>279</v>
      </c>
      <c r="J21" s="176">
        <f>ROUND('BASE-C90POWER'!I4*(VLOOKUP(ROUND(((($D$3+$D$4)/2)-$D$5),3),FAKT_C109,2,-1)),0)</f>
        <v>320</v>
      </c>
    </row>
    <row r="22" spans="2:10" ht="12.75" customHeight="1" x14ac:dyDescent="0.2">
      <c r="B22" s="482"/>
      <c r="C22" s="482"/>
      <c r="D22" s="177">
        <f t="shared" ref="D22:J22" si="2">ROUNDDOWN(D21/(1.161*($D$3-$D$4)),0)</f>
        <v>13</v>
      </c>
      <c r="E22" s="177">
        <f t="shared" si="2"/>
        <v>16</v>
      </c>
      <c r="F22" s="177">
        <f t="shared" si="2"/>
        <v>16</v>
      </c>
      <c r="G22" s="177">
        <f t="shared" si="2"/>
        <v>20</v>
      </c>
      <c r="H22" s="177">
        <f t="shared" si="2"/>
        <v>21</v>
      </c>
      <c r="I22" s="177">
        <f t="shared" si="2"/>
        <v>24</v>
      </c>
      <c r="J22" s="178">
        <f t="shared" si="2"/>
        <v>27</v>
      </c>
    </row>
    <row r="23" spans="2:10" ht="12.75" customHeight="1" x14ac:dyDescent="0.2">
      <c r="B23" s="483">
        <v>1050</v>
      </c>
      <c r="C23" s="483"/>
      <c r="D23" s="267">
        <f>ROUND('BASE-C90POWER'!C5*(VLOOKUP(ROUND(((($D$3+$D$4)/2)-$D$5),3),FAKT_C109,2,-1)),0)</f>
        <v>181</v>
      </c>
      <c r="E23" s="267">
        <f>ROUND('BASE-C90POWER'!D5*(VLOOKUP(ROUND(((($D$3+$D$4)/2)-$D$5),3),FAKT_C109,2,-1)),0)</f>
        <v>220</v>
      </c>
      <c r="F23" s="267">
        <f>ROUND('BASE-C90POWER'!E5*(VLOOKUP(ROUND(((($D$3+$D$4)/2)-$D$5),3),FAKT_C109,2,-1)),0)</f>
        <v>227</v>
      </c>
      <c r="G23" s="267">
        <f>ROUND('BASE-C90POWER'!F5*(VLOOKUP(ROUND(((($D$3+$D$4)/2)-$D$5),3),FAKT_C109,2,-1)),0)</f>
        <v>278</v>
      </c>
      <c r="H23" s="267">
        <f>ROUND('BASE-C90POWER'!G5*(VLOOKUP(ROUND(((($D$3+$D$4)/2)-$D$5),3),FAKT_C109,2,-1)),0)</f>
        <v>296</v>
      </c>
      <c r="I23" s="267">
        <f>ROUND('BASE-C90POWER'!H5*(VLOOKUP(ROUND(((($D$3+$D$4)/2)-$D$5),3),FAKT_C109,2,-1)),0)</f>
        <v>326</v>
      </c>
      <c r="J23" s="268">
        <f>ROUND('BASE-C90POWER'!I5*(VLOOKUP(ROUND(((($D$3+$D$4)/2)-$D$5),3),FAKT_C109,2,-1)),0)</f>
        <v>374</v>
      </c>
    </row>
    <row r="24" spans="2:10" ht="12.75" customHeight="1" x14ac:dyDescent="0.2">
      <c r="B24" s="483"/>
      <c r="C24" s="483"/>
      <c r="D24" s="269">
        <f t="shared" ref="D24:J24" si="3">ROUNDDOWN(D23/(1.161*($D$3-$D$4)),0)</f>
        <v>15</v>
      </c>
      <c r="E24" s="269">
        <f t="shared" si="3"/>
        <v>18</v>
      </c>
      <c r="F24" s="269">
        <f t="shared" si="3"/>
        <v>19</v>
      </c>
      <c r="G24" s="269">
        <f t="shared" si="3"/>
        <v>23</v>
      </c>
      <c r="H24" s="269">
        <f t="shared" si="3"/>
        <v>25</v>
      </c>
      <c r="I24" s="269">
        <f t="shared" si="3"/>
        <v>28</v>
      </c>
      <c r="J24" s="270">
        <f t="shared" si="3"/>
        <v>32</v>
      </c>
    </row>
    <row r="25" spans="2:10" ht="12.75" customHeight="1" x14ac:dyDescent="0.2">
      <c r="B25" s="482">
        <v>1150</v>
      </c>
      <c r="C25" s="482"/>
      <c r="D25" s="175">
        <f>ROUND('BASE-C90POWER'!C6*(VLOOKUP(ROUND(((($D$3+$D$4)/2)-$D$5),3),FAKT_C109,2,-1)),0)</f>
        <v>207</v>
      </c>
      <c r="E25" s="175">
        <f>ROUND('BASE-C90POWER'!D6*(VLOOKUP(ROUND(((($D$3+$D$4)/2)-$D$5),3),FAKT_C109,2,-1)),0)</f>
        <v>252</v>
      </c>
      <c r="F25" s="175">
        <f>ROUND('BASE-C90POWER'!E6*(VLOOKUP(ROUND(((($D$3+$D$4)/2)-$D$5),3),FAKT_C109,2,-1)),0)</f>
        <v>260</v>
      </c>
      <c r="G25" s="175">
        <f>ROUND('BASE-C90POWER'!F6*(VLOOKUP(ROUND(((($D$3+$D$4)/2)-$D$5),3),FAKT_C109,2,-1)),0)</f>
        <v>318</v>
      </c>
      <c r="H25" s="175">
        <f>ROUND('BASE-C90POWER'!G6*(VLOOKUP(ROUND(((($D$3+$D$4)/2)-$D$5),3),FAKT_C109,2,-1)),0)</f>
        <v>339</v>
      </c>
      <c r="I25" s="175">
        <f>ROUND('BASE-C90POWER'!H6*(VLOOKUP(ROUND(((($D$3+$D$4)/2)-$D$5),3),FAKT_C109,2,-1)),0)</f>
        <v>372</v>
      </c>
      <c r="J25" s="176">
        <f>ROUND('BASE-C90POWER'!I6*(VLOOKUP(ROUND(((($D$3+$D$4)/2)-$D$5),3),FAKT_C109,2,-1)),0)</f>
        <v>427</v>
      </c>
    </row>
    <row r="26" spans="2:10" ht="12.75" customHeight="1" x14ac:dyDescent="0.2">
      <c r="B26" s="482"/>
      <c r="C26" s="482"/>
      <c r="D26" s="177">
        <f t="shared" ref="D26:J26" si="4">ROUNDDOWN(D25/(1.161*($D$3-$D$4)),0)</f>
        <v>17</v>
      </c>
      <c r="E26" s="177">
        <f t="shared" si="4"/>
        <v>21</v>
      </c>
      <c r="F26" s="177">
        <f t="shared" si="4"/>
        <v>22</v>
      </c>
      <c r="G26" s="177">
        <f t="shared" si="4"/>
        <v>27</v>
      </c>
      <c r="H26" s="177">
        <f t="shared" si="4"/>
        <v>29</v>
      </c>
      <c r="I26" s="177">
        <f t="shared" si="4"/>
        <v>32</v>
      </c>
      <c r="J26" s="178">
        <f t="shared" si="4"/>
        <v>36</v>
      </c>
    </row>
    <row r="27" spans="2:10" ht="12.75" customHeight="1" x14ac:dyDescent="0.2">
      <c r="B27" s="483">
        <v>1250</v>
      </c>
      <c r="C27" s="483"/>
      <c r="D27" s="267">
        <f>ROUND('BASE-C90POWER'!C7*(VLOOKUP(ROUND(((($D$3+$D$4)/2)-$D$5),3),FAKT_C109,2,-1)),0)</f>
        <v>234</v>
      </c>
      <c r="E27" s="267">
        <f>ROUND('BASE-C90POWER'!D7*(VLOOKUP(ROUND(((($D$3+$D$4)/2)-$D$5),3),FAKT_C109,2,-1)),0)</f>
        <v>283</v>
      </c>
      <c r="F27" s="267">
        <f>ROUND('BASE-C90POWER'!E7*(VLOOKUP(ROUND(((($D$3+$D$4)/2)-$D$5),3),FAKT_C109,2,-1)),0)</f>
        <v>292</v>
      </c>
      <c r="G27" s="267">
        <f>ROUND('BASE-C90POWER'!F7*(VLOOKUP(ROUND(((($D$3+$D$4)/2)-$D$5),3),FAKT_C109,2,-1)),0)</f>
        <v>357</v>
      </c>
      <c r="H27" s="267">
        <f>ROUND('BASE-C90POWER'!G7*(VLOOKUP(ROUND(((($D$3+$D$4)/2)-$D$5),3),FAKT_C109,2,-1)),0)</f>
        <v>380</v>
      </c>
      <c r="I27" s="267">
        <f>ROUND('BASE-C90POWER'!H7*(VLOOKUP(ROUND(((($D$3+$D$4)/2)-$D$5),3),FAKT_C109,2,-1)),0)</f>
        <v>419</v>
      </c>
      <c r="J27" s="268">
        <f>ROUND('BASE-C90POWER'!I7*(VLOOKUP(ROUND(((($D$3+$D$4)/2)-$D$5),3),FAKT_C109,2,-1)),0)</f>
        <v>481</v>
      </c>
    </row>
    <row r="28" spans="2:10" ht="12.75" customHeight="1" x14ac:dyDescent="0.2">
      <c r="B28" s="483"/>
      <c r="C28" s="483"/>
      <c r="D28" s="269">
        <f t="shared" ref="D28:J28" si="5">ROUNDDOWN(D27/(1.161*($D$3-$D$4)),0)</f>
        <v>20</v>
      </c>
      <c r="E28" s="269">
        <f t="shared" si="5"/>
        <v>24</v>
      </c>
      <c r="F28" s="269">
        <f t="shared" si="5"/>
        <v>25</v>
      </c>
      <c r="G28" s="269">
        <f t="shared" si="5"/>
        <v>30</v>
      </c>
      <c r="H28" s="269">
        <f t="shared" si="5"/>
        <v>32</v>
      </c>
      <c r="I28" s="269">
        <f t="shared" si="5"/>
        <v>36</v>
      </c>
      <c r="J28" s="270">
        <f t="shared" si="5"/>
        <v>41</v>
      </c>
    </row>
    <row r="29" spans="2:10" ht="12.75" customHeight="1" x14ac:dyDescent="0.2">
      <c r="B29" s="482">
        <v>1350</v>
      </c>
      <c r="C29" s="482"/>
      <c r="D29" s="175">
        <f>ROUND('BASE-C90POWER'!C8*(VLOOKUP(ROUND(((($D$3+$D$4)/2)-$D$5),3),FAKT_C109,2,-1)),0)</f>
        <v>259</v>
      </c>
      <c r="E29" s="175">
        <f>ROUND('BASE-C90POWER'!D8*(VLOOKUP(ROUND(((($D$3+$D$4)/2)-$D$5),3),FAKT_C109,2,-1)),0)</f>
        <v>314</v>
      </c>
      <c r="F29" s="175">
        <f>ROUND('BASE-C90POWER'!E8*(VLOOKUP(ROUND(((($D$3+$D$4)/2)-$D$5),3),FAKT_C109,2,-1)),0)</f>
        <v>324</v>
      </c>
      <c r="G29" s="175">
        <f>ROUND('BASE-C90POWER'!F8*(VLOOKUP(ROUND(((($D$3+$D$4)/2)-$D$5),3),FAKT_C109,2,-1)),0)</f>
        <v>397</v>
      </c>
      <c r="H29" s="175">
        <f>ROUND('BASE-C90POWER'!G8*(VLOOKUP(ROUND(((($D$3+$D$4)/2)-$D$5),3),FAKT_C109,2,-1)),0)</f>
        <v>423</v>
      </c>
      <c r="I29" s="175">
        <f>ROUND('BASE-C90POWER'!H8*(VLOOKUP(ROUND(((($D$3+$D$4)/2)-$D$5),3),FAKT_C109,2,-1)),0)</f>
        <v>465</v>
      </c>
      <c r="J29" s="176">
        <f>ROUND('BASE-C90POWER'!I8*(VLOOKUP(ROUND(((($D$3+$D$4)/2)-$D$5),3),FAKT_C109,2,-1)),0)</f>
        <v>534</v>
      </c>
    </row>
    <row r="30" spans="2:10" ht="12.75" customHeight="1" x14ac:dyDescent="0.2">
      <c r="B30" s="482"/>
      <c r="C30" s="482"/>
      <c r="D30" s="177">
        <f t="shared" ref="D30:J30" si="6">ROUNDDOWN(D29/(1.161*($D$3-$D$4)),0)</f>
        <v>22</v>
      </c>
      <c r="E30" s="177">
        <f t="shared" si="6"/>
        <v>27</v>
      </c>
      <c r="F30" s="177">
        <f t="shared" si="6"/>
        <v>27</v>
      </c>
      <c r="G30" s="177">
        <f t="shared" si="6"/>
        <v>34</v>
      </c>
      <c r="H30" s="177">
        <f t="shared" si="6"/>
        <v>36</v>
      </c>
      <c r="I30" s="177">
        <f t="shared" si="6"/>
        <v>40</v>
      </c>
      <c r="J30" s="178">
        <f t="shared" si="6"/>
        <v>45</v>
      </c>
    </row>
    <row r="31" spans="2:10" ht="12.75" customHeight="1" x14ac:dyDescent="0.2">
      <c r="B31" s="483">
        <v>1550</v>
      </c>
      <c r="C31" s="483"/>
      <c r="D31" s="267">
        <f>ROUND('BASE-C90POWER'!C9*(VLOOKUP(ROUND(((($D$3+$D$4)/2)-$D$5),3),FAKT_C109,2,-1)),0)</f>
        <v>312</v>
      </c>
      <c r="E31" s="267">
        <f>ROUND('BASE-C90POWER'!D9*(VLOOKUP(ROUND(((($D$3+$D$4)/2)-$D$5),3),FAKT_C109,2,-1)),0)</f>
        <v>377</v>
      </c>
      <c r="F31" s="267">
        <f>ROUND('BASE-C90POWER'!E9*(VLOOKUP(ROUND(((($D$3+$D$4)/2)-$D$5),3),FAKT_C109,2,-1)),0)</f>
        <v>389</v>
      </c>
      <c r="G31" s="267">
        <f>ROUND('BASE-C90POWER'!F9*(VLOOKUP(ROUND(((($D$3+$D$4)/2)-$D$5),3),FAKT_C109,2,-1)),0)</f>
        <v>476</v>
      </c>
      <c r="H31" s="267">
        <f>ROUND('BASE-C90POWER'!G9*(VLOOKUP(ROUND(((($D$3+$D$4)/2)-$D$5),3),FAKT_C109,2,-1)),0)</f>
        <v>507</v>
      </c>
      <c r="I31" s="267">
        <f>ROUND('BASE-C90POWER'!H9*(VLOOKUP(ROUND(((($D$3+$D$4)/2)-$D$5),3),FAKT_C109,2,-1)),0)</f>
        <v>558</v>
      </c>
      <c r="J31" s="268">
        <f>ROUND('BASE-C90POWER'!I9*(VLOOKUP(ROUND(((($D$3+$D$4)/2)-$D$5),3),FAKT_C109,2,-1)),0)</f>
        <v>641</v>
      </c>
    </row>
    <row r="32" spans="2:10" ht="12.75" customHeight="1" x14ac:dyDescent="0.2">
      <c r="B32" s="483"/>
      <c r="C32" s="483"/>
      <c r="D32" s="269">
        <f t="shared" ref="D32:J32" si="7">ROUNDDOWN(D31/(1.161*($D$3-$D$4)),0)</f>
        <v>26</v>
      </c>
      <c r="E32" s="269">
        <f t="shared" si="7"/>
        <v>32</v>
      </c>
      <c r="F32" s="269">
        <f t="shared" si="7"/>
        <v>33</v>
      </c>
      <c r="G32" s="269">
        <f t="shared" si="7"/>
        <v>40</v>
      </c>
      <c r="H32" s="269">
        <f t="shared" si="7"/>
        <v>43</v>
      </c>
      <c r="I32" s="269">
        <f t="shared" si="7"/>
        <v>48</v>
      </c>
      <c r="J32" s="270">
        <f t="shared" si="7"/>
        <v>55</v>
      </c>
    </row>
    <row r="33" spans="2:10" ht="12.75" customHeight="1" x14ac:dyDescent="0.2">
      <c r="B33" s="482">
        <v>1750</v>
      </c>
      <c r="C33" s="482"/>
      <c r="D33" s="175">
        <f>ROUND('BASE-C90POWER'!C10*(VLOOKUP(ROUND(((($D$3+$D$4)/2)-$D$5),3),FAKT_C109,2,-1)),0)</f>
        <v>363</v>
      </c>
      <c r="E33" s="175">
        <f>ROUND('BASE-C90POWER'!D10*(VLOOKUP(ROUND(((($D$3+$D$4)/2)-$D$5),3),FAKT_C109,2,-1)),0)</f>
        <v>440</v>
      </c>
      <c r="F33" s="175">
        <f>ROUND('BASE-C90POWER'!E10*(VLOOKUP(ROUND(((($D$3+$D$4)/2)-$D$5),3),FAKT_C109,2,-1)),0)</f>
        <v>454</v>
      </c>
      <c r="G33" s="175">
        <f>ROUND('BASE-C90POWER'!F10*(VLOOKUP(ROUND(((($D$3+$D$4)/2)-$D$5),3),FAKT_C109,2,-1)),0)</f>
        <v>555</v>
      </c>
      <c r="H33" s="175">
        <f>ROUND('BASE-C90POWER'!G10*(VLOOKUP(ROUND(((($D$3+$D$4)/2)-$D$5),3),FAKT_C109,2,-1)),0)</f>
        <v>592</v>
      </c>
      <c r="I33" s="175">
        <f>ROUND('BASE-C90POWER'!H10*(VLOOKUP(ROUND(((($D$3+$D$4)/2)-$D$5),3),FAKT_C109,2,-1)),0)</f>
        <v>651</v>
      </c>
      <c r="J33" s="176">
        <f>ROUND('BASE-C90POWER'!I10*(VLOOKUP(ROUND(((($D$3+$D$4)/2)-$D$5),3),FAKT_C109,2,-1)),0)</f>
        <v>748</v>
      </c>
    </row>
    <row r="34" spans="2:10" ht="12.75" customHeight="1" x14ac:dyDescent="0.2">
      <c r="B34" s="482"/>
      <c r="C34" s="482"/>
      <c r="D34" s="177">
        <f t="shared" ref="D34:J34" si="8">ROUNDDOWN(D33/(1.161*($D$3-$D$4)),0)</f>
        <v>31</v>
      </c>
      <c r="E34" s="177">
        <f t="shared" si="8"/>
        <v>37</v>
      </c>
      <c r="F34" s="177">
        <f t="shared" si="8"/>
        <v>39</v>
      </c>
      <c r="G34" s="177">
        <f t="shared" si="8"/>
        <v>47</v>
      </c>
      <c r="H34" s="177">
        <f t="shared" si="8"/>
        <v>50</v>
      </c>
      <c r="I34" s="177">
        <f t="shared" si="8"/>
        <v>56</v>
      </c>
      <c r="J34" s="178">
        <f t="shared" si="8"/>
        <v>64</v>
      </c>
    </row>
    <row r="35" spans="2:10" ht="12.75" customHeight="1" x14ac:dyDescent="0.2">
      <c r="B35" s="483">
        <v>1950</v>
      </c>
      <c r="C35" s="483"/>
      <c r="D35" s="267">
        <f>ROUND('BASE-C90POWER'!C11*(VLOOKUP(ROUND(((($D$3+$D$4)/2)-$D$5),3),FAKT_C109,2,-1)),0)</f>
        <v>415</v>
      </c>
      <c r="E35" s="267">
        <f>ROUND('BASE-C90POWER'!D11*(VLOOKUP(ROUND(((($D$3+$D$4)/2)-$D$5),3),FAKT_C109,2,-1)),0)</f>
        <v>504</v>
      </c>
      <c r="F35" s="267">
        <f>ROUND('BASE-C90POWER'!E11*(VLOOKUP(ROUND(((($D$3+$D$4)/2)-$D$5),3),FAKT_C109,2,-1)),0)</f>
        <v>519</v>
      </c>
      <c r="G35" s="267">
        <f>ROUND('BASE-C90POWER'!F11*(VLOOKUP(ROUND(((($D$3+$D$4)/2)-$D$5),3),FAKT_C109,2,-1)),0)</f>
        <v>635</v>
      </c>
      <c r="H35" s="267">
        <f>ROUND('BASE-C90POWER'!G11*(VLOOKUP(ROUND(((($D$3+$D$4)/2)-$D$5),3),FAKT_C109,2,-1)),0)</f>
        <v>677</v>
      </c>
      <c r="I35" s="267">
        <f>ROUND('BASE-C90POWER'!H11*(VLOOKUP(ROUND(((($D$3+$D$4)/2)-$D$5),3),FAKT_C109,2,-1)),0)</f>
        <v>744</v>
      </c>
      <c r="J35" s="268">
        <f>ROUND('BASE-C90POWER'!I11*(VLOOKUP(ROUND(((($D$3+$D$4)/2)-$D$5),3),FAKT_C109,2,-1)),0)</f>
        <v>854</v>
      </c>
    </row>
    <row r="36" spans="2:10" ht="12.75" customHeight="1" x14ac:dyDescent="0.2">
      <c r="B36" s="483"/>
      <c r="C36" s="483"/>
      <c r="D36" s="269">
        <f t="shared" ref="D36:J36" si="9">ROUNDDOWN(D35/(1.161*($D$3-$D$4)),0)</f>
        <v>35</v>
      </c>
      <c r="E36" s="269">
        <f t="shared" si="9"/>
        <v>43</v>
      </c>
      <c r="F36" s="269">
        <f t="shared" si="9"/>
        <v>44</v>
      </c>
      <c r="G36" s="269">
        <f t="shared" si="9"/>
        <v>54</v>
      </c>
      <c r="H36" s="269">
        <f t="shared" si="9"/>
        <v>58</v>
      </c>
      <c r="I36" s="269">
        <f t="shared" si="9"/>
        <v>64</v>
      </c>
      <c r="J36" s="270">
        <f t="shared" si="9"/>
        <v>73</v>
      </c>
    </row>
    <row r="37" spans="2:10" ht="12.75" customHeight="1" x14ac:dyDescent="0.2">
      <c r="B37" s="482">
        <v>2150</v>
      </c>
      <c r="C37" s="482"/>
      <c r="D37" s="175">
        <f>ROUND('BASE-C90POWER'!C12*(VLOOKUP(ROUND(((($D$3+$D$4)/2)-$D$5),3),FAKT_C109,2,-1)),0)</f>
        <v>466</v>
      </c>
      <c r="E37" s="175">
        <f>ROUND('BASE-C90POWER'!D12*(VLOOKUP(ROUND(((($D$3+$D$4)/2)-$D$5),3),FAKT_C109,2,-1)),0)</f>
        <v>566</v>
      </c>
      <c r="F37" s="175">
        <f>ROUND('BASE-C90POWER'!E12*(VLOOKUP(ROUND(((($D$3+$D$4)/2)-$D$5),3),FAKT_C109,2,-1)),0)</f>
        <v>584</v>
      </c>
      <c r="G37" s="175">
        <f>ROUND('BASE-C90POWER'!F12*(VLOOKUP(ROUND(((($D$3+$D$4)/2)-$D$5),3),FAKT_C109,2,-1)),0)</f>
        <v>714</v>
      </c>
      <c r="H37" s="175">
        <f>ROUND('BASE-C90POWER'!G12*(VLOOKUP(ROUND(((($D$3+$D$4)/2)-$D$5),3),FAKT_C109,2,-1)),0)</f>
        <v>761</v>
      </c>
      <c r="I37" s="175">
        <f>ROUND('BASE-C90POWER'!H12*(VLOOKUP(ROUND(((($D$3+$D$4)/2)-$D$5),3),FAKT_C109,2,-1)),0)</f>
        <v>837</v>
      </c>
      <c r="J37" s="176">
        <f>ROUND('BASE-C90POWER'!I12*(VLOOKUP(ROUND(((($D$3+$D$4)/2)-$D$5),3),FAKT_C109,2,-1)),0)</f>
        <v>961</v>
      </c>
    </row>
    <row r="38" spans="2:10" ht="12.75" customHeight="1" x14ac:dyDescent="0.2">
      <c r="B38" s="482"/>
      <c r="C38" s="482"/>
      <c r="D38" s="177">
        <f t="shared" ref="D38:J38" si="10">ROUNDDOWN(D37/(1.161*($D$3-$D$4)),0)</f>
        <v>40</v>
      </c>
      <c r="E38" s="177">
        <f t="shared" si="10"/>
        <v>48</v>
      </c>
      <c r="F38" s="177">
        <f t="shared" si="10"/>
        <v>50</v>
      </c>
      <c r="G38" s="177">
        <f t="shared" si="10"/>
        <v>61</v>
      </c>
      <c r="H38" s="177">
        <f t="shared" si="10"/>
        <v>65</v>
      </c>
      <c r="I38" s="177">
        <f t="shared" si="10"/>
        <v>72</v>
      </c>
      <c r="J38" s="178">
        <f t="shared" si="10"/>
        <v>82</v>
      </c>
    </row>
    <row r="39" spans="2:10" ht="12.75" customHeight="1" x14ac:dyDescent="0.2">
      <c r="B39" s="483">
        <v>2350</v>
      </c>
      <c r="C39" s="483"/>
      <c r="D39" s="267">
        <f>ROUND('BASE-C90POWER'!C13*(VLOOKUP(ROUND(((($D$3+$D$4)/2)-$D$5),3),FAKT_C109,2,-1)),0)</f>
        <v>519</v>
      </c>
      <c r="E39" s="267">
        <f>ROUND('BASE-C90POWER'!D13*(VLOOKUP(ROUND(((($D$3+$D$4)/2)-$D$5),3),FAKT_C109,2,-1)),0)</f>
        <v>629</v>
      </c>
      <c r="F39" s="267">
        <f>ROUND('BASE-C90POWER'!E13*(VLOOKUP(ROUND(((($D$3+$D$4)/2)-$D$5),3),FAKT_C109,2,-1)),0)</f>
        <v>649</v>
      </c>
      <c r="G39" s="267">
        <f>ROUND('BASE-C90POWER'!F13*(VLOOKUP(ROUND(((($D$3+$D$4)/2)-$D$5),3),FAKT_C109,2,-1)),0)</f>
        <v>794</v>
      </c>
      <c r="H39" s="267">
        <f>ROUND('BASE-C90POWER'!G13*(VLOOKUP(ROUND(((($D$3+$D$4)/2)-$D$5),3),FAKT_C109,2,-1)),0)</f>
        <v>846</v>
      </c>
      <c r="I39" s="267">
        <f>ROUND('BASE-C90POWER'!H13*(VLOOKUP(ROUND(((($D$3+$D$4)/2)-$D$5),3),FAKT_C109,2,-1)),0)</f>
        <v>930</v>
      </c>
      <c r="J39" s="268">
        <f>ROUND('BASE-C90POWER'!I13*(VLOOKUP(ROUND(((($D$3+$D$4)/2)-$D$5),3),FAKT_C109,2,-1)),0)</f>
        <v>1068</v>
      </c>
    </row>
    <row r="40" spans="2:10" ht="12.75" customHeight="1" x14ac:dyDescent="0.2">
      <c r="B40" s="483"/>
      <c r="C40" s="483"/>
      <c r="D40" s="269">
        <f t="shared" ref="D40:J40" si="11">ROUNDDOWN(D39/(1.161*($D$3-$D$4)),0)</f>
        <v>44</v>
      </c>
      <c r="E40" s="269">
        <f t="shared" si="11"/>
        <v>54</v>
      </c>
      <c r="F40" s="269">
        <f t="shared" si="11"/>
        <v>55</v>
      </c>
      <c r="G40" s="269">
        <f t="shared" si="11"/>
        <v>68</v>
      </c>
      <c r="H40" s="269">
        <f t="shared" si="11"/>
        <v>72</v>
      </c>
      <c r="I40" s="269">
        <f t="shared" si="11"/>
        <v>80</v>
      </c>
      <c r="J40" s="270">
        <f t="shared" si="11"/>
        <v>91</v>
      </c>
    </row>
    <row r="41" spans="2:10" ht="12.75" customHeight="1" x14ac:dyDescent="0.2">
      <c r="B41" s="482">
        <v>2550</v>
      </c>
      <c r="C41" s="482"/>
      <c r="D41" s="175">
        <f>ROUND('BASE-C90POWER'!C14*(VLOOKUP(ROUND(((($D$3+$D$4)/2)-$D$5),3),FAKT_C109,2,-1)),0)</f>
        <v>571</v>
      </c>
      <c r="E41" s="175">
        <f>ROUND('BASE-C90POWER'!D14*(VLOOKUP(ROUND(((($D$3+$D$4)/2)-$D$5),3),FAKT_C109,2,-1)),0)</f>
        <v>692</v>
      </c>
      <c r="F41" s="175">
        <f>ROUND('BASE-C90POWER'!E14*(VLOOKUP(ROUND(((($D$3+$D$4)/2)-$D$5),3),FAKT_C109,2,-1)),0)</f>
        <v>713</v>
      </c>
      <c r="G41" s="175">
        <f>ROUND('BASE-C90POWER'!F14*(VLOOKUP(ROUND(((($D$3+$D$4)/2)-$D$5),3),FAKT_C109,2,-1)),0)</f>
        <v>873</v>
      </c>
      <c r="H41" s="175">
        <f>ROUND('BASE-C90POWER'!G14*(VLOOKUP(ROUND(((($D$3+$D$4)/2)-$D$5),3),FAKT_C109,2,-1)),0)</f>
        <v>930</v>
      </c>
      <c r="I41" s="175">
        <f>ROUND('BASE-C90POWER'!H14*(VLOOKUP(ROUND(((($D$3+$D$4)/2)-$D$5),3),FAKT_C109,2,-1)),0)</f>
        <v>1023</v>
      </c>
      <c r="J41" s="176">
        <f>ROUND('BASE-C90POWER'!I14*(VLOOKUP(ROUND(((($D$3+$D$4)/2)-$D$5),3),FAKT_C109,2,-1)),0)</f>
        <v>1175</v>
      </c>
    </row>
    <row r="42" spans="2:10" ht="12.75" customHeight="1" x14ac:dyDescent="0.2">
      <c r="B42" s="482"/>
      <c r="C42" s="482"/>
      <c r="D42" s="177">
        <f t="shared" ref="D42:J42" si="12">ROUNDDOWN(D41/(1.161*($D$3-$D$4)),0)</f>
        <v>49</v>
      </c>
      <c r="E42" s="177">
        <f t="shared" si="12"/>
        <v>59</v>
      </c>
      <c r="F42" s="177">
        <f t="shared" si="12"/>
        <v>61</v>
      </c>
      <c r="G42" s="177">
        <f t="shared" si="12"/>
        <v>75</v>
      </c>
      <c r="H42" s="177">
        <f t="shared" si="12"/>
        <v>80</v>
      </c>
      <c r="I42" s="177">
        <f t="shared" si="12"/>
        <v>88</v>
      </c>
      <c r="J42" s="178">
        <f t="shared" si="12"/>
        <v>101</v>
      </c>
    </row>
    <row r="43" spans="2:10" ht="12.75" customHeight="1" x14ac:dyDescent="0.2">
      <c r="B43" s="483">
        <v>2750</v>
      </c>
      <c r="C43" s="483"/>
      <c r="D43" s="267">
        <f>ROUND('BASE-C90POWER'!C15*(VLOOKUP(ROUND(((($D$3+$D$4)/2)-$D$5),3),FAKT_C109,2,-1)),0)</f>
        <v>622</v>
      </c>
      <c r="E43" s="267">
        <f>ROUND('BASE-C90POWER'!D15*(VLOOKUP(ROUND(((($D$3+$D$4)/2)-$D$5),3),FAKT_C109,2,-1)),0)</f>
        <v>754</v>
      </c>
      <c r="F43" s="267">
        <f>ROUND('BASE-C90POWER'!E15*(VLOOKUP(ROUND(((($D$3+$D$4)/2)-$D$5),3),FAKT_C109,2,-1)),0)</f>
        <v>778</v>
      </c>
      <c r="G43" s="267">
        <f>ROUND('BASE-C90POWER'!F15*(VLOOKUP(ROUND(((($D$3+$D$4)/2)-$D$5),3),FAKT_C109,2,-1)),0)</f>
        <v>952</v>
      </c>
      <c r="H43" s="267">
        <f>ROUND('BASE-C90POWER'!G15*(VLOOKUP(ROUND(((($D$3+$D$4)/2)-$D$5),3),FAKT_C109,2,-1)),0)</f>
        <v>1015</v>
      </c>
      <c r="I43" s="267">
        <f>ROUND('BASE-C90POWER'!H15*(VLOOKUP(ROUND(((($D$3+$D$4)/2)-$D$5),3),FAKT_C109,2,-1)),0)</f>
        <v>1116</v>
      </c>
      <c r="J43" s="268">
        <f>ROUND('BASE-C90POWER'!I15*(VLOOKUP(ROUND(((($D$3+$D$4)/2)-$D$5),3),FAKT_C109,2,-1)),0)</f>
        <v>1282</v>
      </c>
    </row>
    <row r="44" spans="2:10" ht="12.75" customHeight="1" x14ac:dyDescent="0.2">
      <c r="B44" s="483"/>
      <c r="C44" s="483"/>
      <c r="D44" s="269">
        <f t="shared" ref="D44:J44" si="13">ROUNDDOWN(D43/(1.161*($D$3-$D$4)),0)</f>
        <v>53</v>
      </c>
      <c r="E44" s="269">
        <f t="shared" si="13"/>
        <v>64</v>
      </c>
      <c r="F44" s="269">
        <f t="shared" si="13"/>
        <v>67</v>
      </c>
      <c r="G44" s="269">
        <f t="shared" si="13"/>
        <v>81</v>
      </c>
      <c r="H44" s="269">
        <f t="shared" si="13"/>
        <v>87</v>
      </c>
      <c r="I44" s="269">
        <f t="shared" si="13"/>
        <v>96</v>
      </c>
      <c r="J44" s="270">
        <f t="shared" si="13"/>
        <v>110</v>
      </c>
    </row>
    <row r="45" spans="2:10" ht="12.75" customHeight="1" x14ac:dyDescent="0.2">
      <c r="B45" s="482">
        <v>2950</v>
      </c>
      <c r="C45" s="482"/>
      <c r="D45" s="175">
        <f>ROUND('BASE-C90POWER'!C16*(VLOOKUP(ROUND(((($D$3+$D$4)/2)-$D$5),3),FAKT_C109,2,-1)),0)</f>
        <v>675</v>
      </c>
      <c r="E45" s="175">
        <f>ROUND('BASE-C90POWER'!D16*(VLOOKUP(ROUND(((($D$3+$D$4)/2)-$D$5),3),FAKT_C109,2,-1)),0)</f>
        <v>818</v>
      </c>
      <c r="F45" s="175">
        <f>ROUND('BASE-C90POWER'!E16*(VLOOKUP(ROUND(((($D$3+$D$4)/2)-$D$5),3),FAKT_C109,2,-1)),0)</f>
        <v>844</v>
      </c>
      <c r="G45" s="175">
        <f>ROUND('BASE-C90POWER'!F16*(VLOOKUP(ROUND(((($D$3+$D$4)/2)-$D$5),3),FAKT_C109,2,-1)),0)</f>
        <v>1032</v>
      </c>
      <c r="H45" s="175">
        <f>ROUND('BASE-C90POWER'!G16*(VLOOKUP(ROUND(((($D$3+$D$4)/2)-$D$5),3),FAKT_C109,2,-1)),0)</f>
        <v>1100</v>
      </c>
      <c r="I45" s="175">
        <f>ROUND('BASE-C90POWER'!H16*(VLOOKUP(ROUND(((($D$3+$D$4)/2)-$D$5),3),FAKT_C109,2,-1)),0)</f>
        <v>1209</v>
      </c>
      <c r="J45" s="176">
        <f>ROUND('BASE-C90POWER'!I16*(VLOOKUP(ROUND(((($D$3+$D$4)/2)-$D$5),3),FAKT_C109,2,-1)),0)</f>
        <v>1388</v>
      </c>
    </row>
    <row r="46" spans="2:10" ht="12.75" customHeight="1" x14ac:dyDescent="0.2">
      <c r="B46" s="482"/>
      <c r="C46" s="482"/>
      <c r="D46" s="177">
        <f t="shared" ref="D46:J46" si="14">ROUNDDOWN(D45/(1.161*($D$3-$D$4)),0)</f>
        <v>58</v>
      </c>
      <c r="E46" s="177">
        <f t="shared" si="14"/>
        <v>70</v>
      </c>
      <c r="F46" s="177">
        <f t="shared" si="14"/>
        <v>72</v>
      </c>
      <c r="G46" s="177">
        <f t="shared" si="14"/>
        <v>88</v>
      </c>
      <c r="H46" s="177">
        <f t="shared" si="14"/>
        <v>94</v>
      </c>
      <c r="I46" s="177">
        <f t="shared" si="14"/>
        <v>104</v>
      </c>
      <c r="J46" s="178">
        <f t="shared" si="14"/>
        <v>119</v>
      </c>
    </row>
    <row r="47" spans="2:10" ht="12.75" customHeight="1" x14ac:dyDescent="0.2">
      <c r="B47" s="483">
        <v>3150</v>
      </c>
      <c r="C47" s="483"/>
      <c r="D47" s="267">
        <f>ROUND('BASE-C90POWER'!C17*(VLOOKUP(ROUND(((($D$3+$D$4)/2)-$D$5),3),FAKT_C109,2,-1)),0)</f>
        <v>726</v>
      </c>
      <c r="E47" s="267">
        <f>ROUND('BASE-C90POWER'!D17*(VLOOKUP(ROUND(((($D$3+$D$4)/2)-$D$5),3),FAKT_C109,2,-1)),0)</f>
        <v>871</v>
      </c>
      <c r="F47" s="267">
        <f>ROUND('BASE-C90POWER'!E17*(VLOOKUP(ROUND(((($D$3+$D$4)/2)-$D$5),3),FAKT_C109,2,-1)),0)</f>
        <v>899</v>
      </c>
      <c r="G47" s="267">
        <f>ROUND('BASE-C90POWER'!F17*(VLOOKUP(ROUND(((($D$3+$D$4)/2)-$D$5),3),FAKT_C109,2,-1)),0)</f>
        <v>1111</v>
      </c>
      <c r="H47" s="267">
        <f>ROUND('BASE-C90POWER'!G17*(VLOOKUP(ROUND(((($D$3+$D$4)/2)-$D$5),3),FAKT_C109,2,-1)),0)</f>
        <v>1184</v>
      </c>
      <c r="I47" s="267">
        <f>ROUND('BASE-C90POWER'!H17*(VLOOKUP(ROUND(((($D$3+$D$4)/2)-$D$5),3),FAKT_C109,2,-1)),0)</f>
        <v>1302</v>
      </c>
      <c r="J47" s="268">
        <f>ROUND('BASE-C90POWER'!I17*(VLOOKUP(ROUND(((($D$3+$D$4)/2)-$D$5),3),FAKT_C109,2,-1)),0)</f>
        <v>1495</v>
      </c>
    </row>
    <row r="48" spans="2:10" ht="12.75" customHeight="1" x14ac:dyDescent="0.2">
      <c r="B48" s="483"/>
      <c r="C48" s="483"/>
      <c r="D48" s="269">
        <f t="shared" ref="D48:J48" si="15">ROUNDDOWN(D47/(1.161*($D$3-$D$4)),0)</f>
        <v>62</v>
      </c>
      <c r="E48" s="269">
        <f t="shared" si="15"/>
        <v>75</v>
      </c>
      <c r="F48" s="269">
        <f t="shared" si="15"/>
        <v>77</v>
      </c>
      <c r="G48" s="269">
        <f t="shared" si="15"/>
        <v>95</v>
      </c>
      <c r="H48" s="269">
        <f t="shared" si="15"/>
        <v>101</v>
      </c>
      <c r="I48" s="269">
        <f t="shared" si="15"/>
        <v>112</v>
      </c>
      <c r="J48" s="270">
        <f t="shared" si="15"/>
        <v>128</v>
      </c>
    </row>
    <row r="49" spans="2:10" ht="12.75" customHeight="1" x14ac:dyDescent="0.2">
      <c r="B49" s="482">
        <v>3350</v>
      </c>
      <c r="C49" s="482"/>
      <c r="D49" s="175">
        <f>ROUND('BASE-C90POWER'!C18*(VLOOKUP(ROUND(((($D$3+$D$4)/2)-$D$5),3),FAKT_C109,2,-1)),0)</f>
        <v>778</v>
      </c>
      <c r="E49" s="175">
        <f>ROUND('BASE-C90POWER'!D18*(VLOOKUP(ROUND(((($D$3+$D$4)/2)-$D$5),3),FAKT_C109,2,-1)),0)</f>
        <v>943</v>
      </c>
      <c r="F49" s="175">
        <f>ROUND('BASE-C90POWER'!E18*(VLOOKUP(ROUND(((($D$3+$D$4)/2)-$D$5),3),FAKT_C109,2,-1)),0)</f>
        <v>973</v>
      </c>
      <c r="G49" s="175">
        <f>ROUND('BASE-C90POWER'!F18*(VLOOKUP(ROUND(((($D$3+$D$4)/2)-$D$5),3),FAKT_C109,2,-1)),0)</f>
        <v>1190</v>
      </c>
      <c r="H49" s="175">
        <f>ROUND('BASE-C90POWER'!G18*(VLOOKUP(ROUND(((($D$3+$D$4)/2)-$D$5),3),FAKT_C109,2,-1)),0)</f>
        <v>1269</v>
      </c>
      <c r="I49" s="175">
        <f>ROUND('BASE-C90POWER'!H18*(VLOOKUP(ROUND(((($D$3+$D$4)/2)-$D$5),3),FAKT_C109,2,-1)),0)</f>
        <v>1395</v>
      </c>
      <c r="J49" s="176">
        <f>ROUND('BASE-C90POWER'!I18*(VLOOKUP(ROUND(((($D$3+$D$4)/2)-$D$5),3),FAKT_C109,2,-1)),0)</f>
        <v>1601</v>
      </c>
    </row>
    <row r="50" spans="2:10" ht="12.75" customHeight="1" x14ac:dyDescent="0.2">
      <c r="B50" s="482"/>
      <c r="C50" s="482"/>
      <c r="D50" s="177">
        <f t="shared" ref="D50:J50" si="16">ROUNDDOWN(D49/(1.161*($D$3-$D$4)),0)</f>
        <v>67</v>
      </c>
      <c r="E50" s="177">
        <f t="shared" si="16"/>
        <v>81</v>
      </c>
      <c r="F50" s="177">
        <f t="shared" si="16"/>
        <v>83</v>
      </c>
      <c r="G50" s="177">
        <f t="shared" si="16"/>
        <v>102</v>
      </c>
      <c r="H50" s="177">
        <f t="shared" si="16"/>
        <v>109</v>
      </c>
      <c r="I50" s="177">
        <f t="shared" si="16"/>
        <v>120</v>
      </c>
      <c r="J50" s="178">
        <f t="shared" si="16"/>
        <v>137</v>
      </c>
    </row>
    <row r="51" spans="2:10" ht="12.75" customHeight="1" x14ac:dyDescent="0.2">
      <c r="B51" s="483">
        <v>3550</v>
      </c>
      <c r="C51" s="483"/>
      <c r="D51" s="267">
        <f>ROUND('BASE-C90POWER'!C19*(VLOOKUP(ROUND(((($D$3+$D$4)/2)-$D$5),3),FAKT_C109,2,-1)),0)</f>
        <v>830</v>
      </c>
      <c r="E51" s="267">
        <f>ROUND('BASE-C90POWER'!D19*(VLOOKUP(ROUND(((($D$3+$D$4)/2)-$D$5),3),FAKT_C109,2,-1)),0)</f>
        <v>1006</v>
      </c>
      <c r="F51" s="267">
        <f>ROUND('BASE-C90POWER'!E19*(VLOOKUP(ROUND(((($D$3+$D$4)/2)-$D$5),3),FAKT_C109,2,-1)),0)</f>
        <v>1038</v>
      </c>
      <c r="G51" s="267">
        <f>ROUND('BASE-C90POWER'!F19*(VLOOKUP(ROUND(((($D$3+$D$4)/2)-$D$5),3),FAKT_C109,2,-1)),0)</f>
        <v>1269</v>
      </c>
      <c r="H51" s="267">
        <f>ROUND('BASE-C90POWER'!G19*(VLOOKUP(ROUND(((($D$3+$D$4)/2)-$D$5),3),FAKT_C109,2,-1)),0)</f>
        <v>1353</v>
      </c>
      <c r="I51" s="267">
        <f>ROUND('BASE-C90POWER'!H19*(VLOOKUP(ROUND(((($D$3+$D$4)/2)-$D$5),3),FAKT_C109,2,-1)),0)</f>
        <v>1488</v>
      </c>
      <c r="J51" s="268">
        <f>ROUND('BASE-C90POWER'!I19*(VLOOKUP(ROUND(((($D$3+$D$4)/2)-$D$5),3),FAKT_C109,2,-1)),0)</f>
        <v>1708</v>
      </c>
    </row>
    <row r="52" spans="2:10" ht="12.75" customHeight="1" x14ac:dyDescent="0.2">
      <c r="B52" s="483"/>
      <c r="C52" s="483"/>
      <c r="D52" s="269">
        <f t="shared" ref="D52:J52" si="17">ROUNDDOWN(D51/(1.161*($D$3-$D$4)),0)</f>
        <v>71</v>
      </c>
      <c r="E52" s="269">
        <f t="shared" si="17"/>
        <v>86</v>
      </c>
      <c r="F52" s="269">
        <f t="shared" si="17"/>
        <v>89</v>
      </c>
      <c r="G52" s="269">
        <f t="shared" si="17"/>
        <v>109</v>
      </c>
      <c r="H52" s="269">
        <f t="shared" si="17"/>
        <v>116</v>
      </c>
      <c r="I52" s="269">
        <f t="shared" si="17"/>
        <v>128</v>
      </c>
      <c r="J52" s="270">
        <f t="shared" si="17"/>
        <v>147</v>
      </c>
    </row>
    <row r="53" spans="2:10" ht="12.75" customHeight="1" x14ac:dyDescent="0.2">
      <c r="B53" s="482">
        <v>3750</v>
      </c>
      <c r="C53" s="482"/>
      <c r="D53" s="175">
        <f>ROUND('BASE-C90POWER'!C20*(VLOOKUP(ROUND(((($D$3+$D$4)/2)-$D$5),3),FAKT_C109,2,-1)),0)</f>
        <v>882</v>
      </c>
      <c r="E53" s="175">
        <f>ROUND('BASE-C90POWER'!D20*(VLOOKUP(ROUND(((($D$3+$D$4)/2)-$D$5),3),FAKT_C109,2,-1)),0)</f>
        <v>1069</v>
      </c>
      <c r="F53" s="175">
        <f>ROUND('BASE-C90POWER'!E20*(VLOOKUP(ROUND(((($D$3+$D$4)/2)-$D$5),3),FAKT_C109,2,-1)),0)</f>
        <v>1103</v>
      </c>
      <c r="G53" s="175">
        <f>ROUND('BASE-C90POWER'!F20*(VLOOKUP(ROUND(((($D$3+$D$4)/2)-$D$5),3),FAKT_C109,2,-1)),0)</f>
        <v>1349</v>
      </c>
      <c r="H53" s="175">
        <f>ROUND('BASE-C90POWER'!G20*(VLOOKUP(ROUND(((($D$3+$D$4)/2)-$D$5),3),FAKT_C109,2,-1)),0)</f>
        <v>1438</v>
      </c>
      <c r="I53" s="175">
        <f>ROUND('BASE-C90POWER'!H20*(VLOOKUP(ROUND(((($D$3+$D$4)/2)-$D$5),3),FAKT_C109,2,-1)),0)</f>
        <v>1581</v>
      </c>
      <c r="J53" s="176">
        <f>ROUND('BASE-C90POWER'!I20*(VLOOKUP(ROUND(((($D$3+$D$4)/2)-$D$5),3),FAKT_C109,2,-1)),0)</f>
        <v>1815</v>
      </c>
    </row>
    <row r="54" spans="2:10" ht="12.75" customHeight="1" x14ac:dyDescent="0.2">
      <c r="B54" s="482"/>
      <c r="C54" s="482"/>
      <c r="D54" s="177">
        <f t="shared" ref="D54:J54" si="18">ROUNDDOWN(D53/(1.161*($D$3-$D$4)),0)</f>
        <v>75</v>
      </c>
      <c r="E54" s="177">
        <f t="shared" si="18"/>
        <v>92</v>
      </c>
      <c r="F54" s="177">
        <f t="shared" si="18"/>
        <v>95</v>
      </c>
      <c r="G54" s="177">
        <f t="shared" si="18"/>
        <v>116</v>
      </c>
      <c r="H54" s="177">
        <f t="shared" si="18"/>
        <v>123</v>
      </c>
      <c r="I54" s="177">
        <f t="shared" si="18"/>
        <v>136</v>
      </c>
      <c r="J54" s="178">
        <f t="shared" si="18"/>
        <v>156</v>
      </c>
    </row>
    <row r="55" spans="2:10" ht="12.75" customHeight="1" x14ac:dyDescent="0.2">
      <c r="B55" s="483">
        <v>3950</v>
      </c>
      <c r="C55" s="483"/>
      <c r="D55" s="267">
        <f>ROUND('BASE-C90POWER'!C21*(VLOOKUP(ROUND(((($D$3+$D$4)/2)-$D$5),3),FAKT_C109,2,-1)),0)</f>
        <v>934</v>
      </c>
      <c r="E55" s="267">
        <f>ROUND('BASE-C90POWER'!D21*(VLOOKUP(ROUND(((($D$3+$D$4)/2)-$D$5),3),FAKT_C109,2,-1)),0)</f>
        <v>1132</v>
      </c>
      <c r="F55" s="267">
        <f>ROUND('BASE-C90POWER'!E21*(VLOOKUP(ROUND(((($D$3+$D$4)/2)-$D$5),3),FAKT_C109,2,-1)),0)</f>
        <v>1168</v>
      </c>
      <c r="G55" s="267">
        <f>ROUND('BASE-C90POWER'!F21*(VLOOKUP(ROUND(((($D$3+$D$4)/2)-$D$5),3),FAKT_C109,2,-1)),0)</f>
        <v>1429</v>
      </c>
      <c r="H55" s="267">
        <f>ROUND('BASE-C90POWER'!G21*(VLOOKUP(ROUND(((($D$3+$D$4)/2)-$D$5),3),FAKT_C109,2,-1)),0)</f>
        <v>1523</v>
      </c>
      <c r="I55" s="267">
        <f>ROUND('BASE-C90POWER'!H21*(VLOOKUP(ROUND(((($D$3+$D$4)/2)-$D$5),3),FAKT_C109,2,-1)),0)</f>
        <v>1673</v>
      </c>
      <c r="J55" s="268">
        <f>ROUND('BASE-C90POWER'!I21*(VLOOKUP(ROUND(((($D$3+$D$4)/2)-$D$5),3),FAKT_C109,2,-1)),0)</f>
        <v>1921</v>
      </c>
    </row>
    <row r="56" spans="2:10" ht="12.75" customHeight="1" x14ac:dyDescent="0.2">
      <c r="B56" s="483"/>
      <c r="C56" s="483"/>
      <c r="D56" s="269">
        <f t="shared" ref="D56:J56" si="19">ROUNDDOWN(D55/(1.161*($D$3-$D$4)),0)</f>
        <v>80</v>
      </c>
      <c r="E56" s="269">
        <f t="shared" si="19"/>
        <v>97</v>
      </c>
      <c r="F56" s="269">
        <f t="shared" si="19"/>
        <v>100</v>
      </c>
      <c r="G56" s="269">
        <f t="shared" si="19"/>
        <v>123</v>
      </c>
      <c r="H56" s="269">
        <f t="shared" si="19"/>
        <v>131</v>
      </c>
      <c r="I56" s="269">
        <f t="shared" si="19"/>
        <v>144</v>
      </c>
      <c r="J56" s="270">
        <f t="shared" si="19"/>
        <v>165</v>
      </c>
    </row>
    <row r="57" spans="2:10" ht="9" customHeight="1" x14ac:dyDescent="0.2">
      <c r="B57" s="148"/>
      <c r="C57" s="148"/>
      <c r="J57" s="140"/>
    </row>
    <row r="58" spans="2:10" x14ac:dyDescent="0.2">
      <c r="B58" s="141" t="str">
        <f>VLOOKUP(36,TXT,$F$3,0)</f>
        <v>Angabe in Watt  pro Bodenkonvektor-Länge L [mm]</v>
      </c>
      <c r="J58" s="121" t="str">
        <f>VLOOKUP(16,TXT,$F$3,0)</f>
        <v>Wärmeleistungen in Anlehnung an EN 442-2</v>
      </c>
    </row>
    <row r="59" spans="2:10" x14ac:dyDescent="0.2">
      <c r="B59" s="141" t="str">
        <f>VLOOKUP(90,TXT,$F$3,0)</f>
        <v>Leistungsdaten mit Abdeckung, Rollrost Typ 941-17-B (f.Q. 70%)</v>
      </c>
      <c r="J59" s="121"/>
    </row>
    <row r="60" spans="2:10" x14ac:dyDescent="0.2">
      <c r="B60" s="141" t="str">
        <f>CONCATENATE("(*) ",VLOOKUP(29,TXT,$F$3,0))</f>
        <v>(*) Minimale Wassermassenströme von ca. 20 kg/h sollen eingehalten werden</v>
      </c>
      <c r="J60" s="122" t="s">
        <v>1050</v>
      </c>
    </row>
    <row r="61" spans="2:10" x14ac:dyDescent="0.2">
      <c r="B61" s="183"/>
      <c r="C61" s="120"/>
      <c r="E61" s="120"/>
    </row>
    <row r="62" spans="2:10" hidden="1" x14ac:dyDescent="0.2">
      <c r="B62" s="183"/>
      <c r="C62" s="120"/>
      <c r="E62" s="120"/>
    </row>
    <row r="63" spans="2:10" hidden="1" x14ac:dyDescent="0.2">
      <c r="B63" s="183"/>
      <c r="C63" s="120"/>
      <c r="E63" s="120"/>
    </row>
  </sheetData>
  <sheetProtection algorithmName="SHA-512" hashValue="wzL+ogD4rA5ZFRe7Pi+YKyf5a+qR4jGhh2KJmCjJY/VIFO8PM9fj8LQhxafQBUhojC1Px7+KKo8+86lFSWhhWg==" saltValue="dvtDts9CKj72s/B4gMUXfQ==" spinCount="100000" sheet="1" objects="1" scenarios="1" selectLockedCells="1"/>
  <protectedRanges>
    <protectedRange sqref="G3:G5 F4:F5" name="Bereich1_1_1"/>
  </protectedRanges>
  <dataConsolidate/>
  <mergeCells count="38">
    <mergeCell ref="G16:J16"/>
    <mergeCell ref="B10:C10"/>
    <mergeCell ref="D10:F10"/>
    <mergeCell ref="G10:H10"/>
    <mergeCell ref="I10:J10"/>
    <mergeCell ref="B12:C12"/>
    <mergeCell ref="B13:C13"/>
    <mergeCell ref="B14:C14"/>
    <mergeCell ref="B16:C16"/>
    <mergeCell ref="D16:F16"/>
    <mergeCell ref="B39:C40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53:C54"/>
    <mergeCell ref="B55:C56"/>
    <mergeCell ref="B41:C42"/>
    <mergeCell ref="B43:C44"/>
    <mergeCell ref="B45:C46"/>
    <mergeCell ref="B47:C48"/>
    <mergeCell ref="B49:C50"/>
    <mergeCell ref="B51:C52"/>
    <mergeCell ref="D4:E4"/>
    <mergeCell ref="B5:C5"/>
    <mergeCell ref="D5:E5"/>
    <mergeCell ref="F3:F5"/>
    <mergeCell ref="D2:E2"/>
    <mergeCell ref="B3:C3"/>
    <mergeCell ref="D3:E3"/>
    <mergeCell ref="B4:C4"/>
  </mergeCells>
  <conditionalFormatting sqref="D3:D5">
    <cfRule type="expression" dxfId="193" priority="2">
      <formula>$I$4&lt;&gt;""</formula>
    </cfRule>
    <cfRule type="expression" dxfId="192" priority="3">
      <formula>$K$3&lt;&gt;""</formula>
    </cfRule>
  </conditionalFormatting>
  <conditionalFormatting sqref="D3:E5">
    <cfRule type="expression" dxfId="191" priority="1">
      <formula>$H$4&lt;&gt;""</formula>
    </cfRule>
  </conditionalFormatting>
  <conditionalFormatting sqref="D17:J17">
    <cfRule type="expression" dxfId="190" priority="43" stopIfTrue="1">
      <formula>D18&lt;20</formula>
    </cfRule>
  </conditionalFormatting>
  <conditionalFormatting sqref="D19:J19">
    <cfRule type="expression" dxfId="189" priority="42" stopIfTrue="1">
      <formula>D20&lt;20</formula>
    </cfRule>
  </conditionalFormatting>
  <conditionalFormatting sqref="D21:J21">
    <cfRule type="expression" dxfId="188" priority="32" stopIfTrue="1">
      <formula>D22&lt;20</formula>
    </cfRule>
  </conditionalFormatting>
  <conditionalFormatting sqref="D23:J23">
    <cfRule type="expression" dxfId="187" priority="41" stopIfTrue="1">
      <formula>D24&lt;20</formula>
    </cfRule>
  </conditionalFormatting>
  <conditionalFormatting sqref="D25:J25">
    <cfRule type="expression" dxfId="186" priority="31" stopIfTrue="1">
      <formula>D26&lt;20</formula>
    </cfRule>
  </conditionalFormatting>
  <conditionalFormatting sqref="D27:J27">
    <cfRule type="expression" dxfId="185" priority="40" stopIfTrue="1">
      <formula>D28&lt;20</formula>
    </cfRule>
  </conditionalFormatting>
  <conditionalFormatting sqref="D29:J29">
    <cfRule type="expression" dxfId="184" priority="30" stopIfTrue="1">
      <formula>D30&lt;20</formula>
    </cfRule>
  </conditionalFormatting>
  <conditionalFormatting sqref="D31:J31">
    <cfRule type="expression" dxfId="183" priority="39" stopIfTrue="1">
      <formula>D32&lt;20</formula>
    </cfRule>
  </conditionalFormatting>
  <conditionalFormatting sqref="D33:J33">
    <cfRule type="expression" dxfId="182" priority="29" stopIfTrue="1">
      <formula>D34&lt;20</formula>
    </cfRule>
  </conditionalFormatting>
  <conditionalFormatting sqref="D35:J35">
    <cfRule type="expression" dxfId="181" priority="38" stopIfTrue="1">
      <formula>D36&lt;20</formula>
    </cfRule>
  </conditionalFormatting>
  <conditionalFormatting sqref="D37:J37">
    <cfRule type="expression" dxfId="180" priority="28" stopIfTrue="1">
      <formula>D38&lt;20</formula>
    </cfRule>
  </conditionalFormatting>
  <conditionalFormatting sqref="D39:J39">
    <cfRule type="expression" dxfId="179" priority="37" stopIfTrue="1">
      <formula>D40&lt;20</formula>
    </cfRule>
  </conditionalFormatting>
  <conditionalFormatting sqref="D41:J41">
    <cfRule type="expression" dxfId="178" priority="27" stopIfTrue="1">
      <formula>D42&lt;20</formula>
    </cfRule>
  </conditionalFormatting>
  <conditionalFormatting sqref="D43:J43">
    <cfRule type="expression" dxfId="177" priority="36" stopIfTrue="1">
      <formula>D44&lt;20</formula>
    </cfRule>
  </conditionalFormatting>
  <conditionalFormatting sqref="D45:J45">
    <cfRule type="expression" dxfId="176" priority="26" stopIfTrue="1">
      <formula>D46&lt;20</formula>
    </cfRule>
  </conditionalFormatting>
  <conditionalFormatting sqref="D47:J47">
    <cfRule type="expression" dxfId="175" priority="35" stopIfTrue="1">
      <formula>D48&lt;20</formula>
    </cfRule>
  </conditionalFormatting>
  <conditionalFormatting sqref="D49:J49">
    <cfRule type="expression" dxfId="174" priority="25" stopIfTrue="1">
      <formula>D50&lt;20</formula>
    </cfRule>
  </conditionalFormatting>
  <conditionalFormatting sqref="D51:J51">
    <cfRule type="expression" dxfId="173" priority="34" stopIfTrue="1">
      <formula>D52&lt;20</formula>
    </cfRule>
  </conditionalFormatting>
  <conditionalFormatting sqref="D53:J53">
    <cfRule type="expression" dxfId="172" priority="24" stopIfTrue="1">
      <formula>D54&lt;20</formula>
    </cfRule>
  </conditionalFormatting>
  <conditionalFormatting sqref="D55:J55">
    <cfRule type="expression" dxfId="171" priority="33" stopIfTrue="1">
      <formula>D56&lt;20</formula>
    </cfRule>
  </conditionalFormatting>
  <dataValidations count="4">
    <dataValidation type="whole" allowBlank="1" showInputMessage="1" showErrorMessage="1" sqref="G3:G5 F3:F5" xr:uid="{DC098E69-6C15-46BE-A0B4-92BF5CA6F97D}">
      <formula1>2</formula1>
      <formula2>3</formula2>
    </dataValidation>
    <dataValidation type="whole" allowBlank="1" showInputMessage="1" showErrorMessage="1" sqref="D5:E5" xr:uid="{E906E47D-E528-4C22-82DE-C5879D3FE548}">
      <formula1>15</formula1>
      <formula2>29</formula2>
    </dataValidation>
    <dataValidation type="whole" allowBlank="1" showInputMessage="1" showErrorMessage="1" sqref="D4:E4" xr:uid="{A0EBDD29-BB2D-4A0C-AE8F-6465C8B95E4E}">
      <formula1>25</formula1>
      <formula2>85</formula2>
    </dataValidation>
    <dataValidation type="whole" allowBlank="1" showInputMessage="1" showErrorMessage="1" sqref="D3:E3" xr:uid="{F9292B92-A70D-45AA-A65F-C4F43D390123}">
      <formula1>30</formula1>
      <formula2>90</formula2>
    </dataValidation>
  </dataValidations>
  <pageMargins left="0.59055118110236227" right="0.39370078740157483" top="1.1811023622047245" bottom="0.78740157480314965" header="0.51181102362204722" footer="0.51181102362204722"/>
  <pageSetup paperSize="9" orientation="portrait" r:id="rId1"/>
  <headerFooter alignWithMargins="0">
    <oddHeader xml:space="preserve">&amp;C&amp;11&amp;G
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3" id="{64DFD0CE-3E97-46B4-9BC4-CB83D2B3364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D18:J18</xm:sqref>
        </x14:conditionalFormatting>
        <x14:conditionalFormatting xmlns:xm="http://schemas.microsoft.com/office/excel/2006/main">
          <x14:cfRule type="iconSet" priority="22" id="{BA9CAF3E-92AA-44C9-8033-58FC2B9AB53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D20:J20</xm:sqref>
        </x14:conditionalFormatting>
        <x14:conditionalFormatting xmlns:xm="http://schemas.microsoft.com/office/excel/2006/main">
          <x14:cfRule type="iconSet" priority="12" id="{827DDD08-9789-4FFB-93DF-7ED5CFB918F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D22:J22</xm:sqref>
        </x14:conditionalFormatting>
        <x14:conditionalFormatting xmlns:xm="http://schemas.microsoft.com/office/excel/2006/main">
          <x14:cfRule type="iconSet" priority="21" id="{88757E3E-52B4-4A08-BE40-2B1EBC8822C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D24:J24</xm:sqref>
        </x14:conditionalFormatting>
        <x14:conditionalFormatting xmlns:xm="http://schemas.microsoft.com/office/excel/2006/main">
          <x14:cfRule type="iconSet" priority="11" id="{4E056E53-9F41-49F1-8DD3-A2DDE4579AF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D26:J26</xm:sqref>
        </x14:conditionalFormatting>
        <x14:conditionalFormatting xmlns:xm="http://schemas.microsoft.com/office/excel/2006/main">
          <x14:cfRule type="iconSet" priority="20" id="{FB0EE5C8-016D-4EE3-8CFC-5C44E0DDBC8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D28:J28</xm:sqref>
        </x14:conditionalFormatting>
        <x14:conditionalFormatting xmlns:xm="http://schemas.microsoft.com/office/excel/2006/main">
          <x14:cfRule type="iconSet" priority="10" id="{E063CB31-390B-4A32-8F09-AF2ABBA13A6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D30:J30</xm:sqref>
        </x14:conditionalFormatting>
        <x14:conditionalFormatting xmlns:xm="http://schemas.microsoft.com/office/excel/2006/main">
          <x14:cfRule type="iconSet" priority="19" id="{F79742C4-0326-4911-9116-DA1127918BC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D32:J32</xm:sqref>
        </x14:conditionalFormatting>
        <x14:conditionalFormatting xmlns:xm="http://schemas.microsoft.com/office/excel/2006/main">
          <x14:cfRule type="iconSet" priority="9" id="{8BF2027D-88A1-4C22-B588-1AC09D75A4D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D34:J34</xm:sqref>
        </x14:conditionalFormatting>
        <x14:conditionalFormatting xmlns:xm="http://schemas.microsoft.com/office/excel/2006/main">
          <x14:cfRule type="iconSet" priority="18" id="{94BD98F7-0FD2-4F57-8451-861AA4F7B93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D36:J36</xm:sqref>
        </x14:conditionalFormatting>
        <x14:conditionalFormatting xmlns:xm="http://schemas.microsoft.com/office/excel/2006/main">
          <x14:cfRule type="iconSet" priority="8" id="{69756BE9-450B-4E6B-81C2-A7F86EA0FD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D38:J38</xm:sqref>
        </x14:conditionalFormatting>
        <x14:conditionalFormatting xmlns:xm="http://schemas.microsoft.com/office/excel/2006/main">
          <x14:cfRule type="iconSet" priority="17" id="{BA4A8832-AEE5-4A3F-B630-3AA31A3E4EE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D40:J40</xm:sqref>
        </x14:conditionalFormatting>
        <x14:conditionalFormatting xmlns:xm="http://schemas.microsoft.com/office/excel/2006/main">
          <x14:cfRule type="iconSet" priority="7" id="{E59FEA52-CC31-40D0-A591-30C132CC7F8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D42:J42</xm:sqref>
        </x14:conditionalFormatting>
        <x14:conditionalFormatting xmlns:xm="http://schemas.microsoft.com/office/excel/2006/main">
          <x14:cfRule type="iconSet" priority="16" id="{8FEBAB87-11BE-4CEE-9C40-9CC3351F8E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D44:J44</xm:sqref>
        </x14:conditionalFormatting>
        <x14:conditionalFormatting xmlns:xm="http://schemas.microsoft.com/office/excel/2006/main">
          <x14:cfRule type="iconSet" priority="6" id="{4B80FBC1-3E35-4C29-9C4B-84ACFFD768D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D46:J46</xm:sqref>
        </x14:conditionalFormatting>
        <x14:conditionalFormatting xmlns:xm="http://schemas.microsoft.com/office/excel/2006/main">
          <x14:cfRule type="iconSet" priority="15" id="{E92B0EA9-F92B-4F4E-BB5A-CB1212756BF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D48:J48</xm:sqref>
        </x14:conditionalFormatting>
        <x14:conditionalFormatting xmlns:xm="http://schemas.microsoft.com/office/excel/2006/main">
          <x14:cfRule type="iconSet" priority="5" id="{5FDD5422-0E35-4929-B8D7-758027527F4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D50:J50</xm:sqref>
        </x14:conditionalFormatting>
        <x14:conditionalFormatting xmlns:xm="http://schemas.microsoft.com/office/excel/2006/main">
          <x14:cfRule type="iconSet" priority="14" id="{334D4C37-E770-49B8-8B07-EDBD961B825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D52:J52</xm:sqref>
        </x14:conditionalFormatting>
        <x14:conditionalFormatting xmlns:xm="http://schemas.microsoft.com/office/excel/2006/main">
          <x14:cfRule type="iconSet" priority="4" id="{0E87A591-5656-44FF-9761-E1FD88C0F59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D54:J54</xm:sqref>
        </x14:conditionalFormatting>
        <x14:conditionalFormatting xmlns:xm="http://schemas.microsoft.com/office/excel/2006/main">
          <x14:cfRule type="iconSet" priority="13" id="{689978A4-7197-47A5-A520-05EE09C683F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D56:J56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C8C1-0833-434F-9EB6-4BF1957CBF76}">
  <dimension ref="A1:K63"/>
  <sheetViews>
    <sheetView showGridLines="0" showRowColHeaders="0" workbookViewId="0">
      <selection activeCell="G3" sqref="G3:H3"/>
    </sheetView>
  </sheetViews>
  <sheetFormatPr baseColWidth="10" defaultColWidth="0" defaultRowHeight="12.75" zeroHeight="1" x14ac:dyDescent="0.2"/>
  <cols>
    <col min="1" max="1" width="2.7109375" style="101" customWidth="1"/>
    <col min="2" max="2" width="3" style="101" customWidth="1"/>
    <col min="3" max="3" width="6.7109375" style="140" customWidth="1"/>
    <col min="4" max="9" width="11.85546875" style="140" customWidth="1"/>
    <col min="10" max="10" width="11.85546875" style="101" customWidth="1"/>
    <col min="11" max="11" width="2.7109375" style="101" customWidth="1"/>
    <col min="12" max="16384" width="11.42578125" style="101" hidden="1"/>
  </cols>
  <sheetData>
    <row r="1" spans="2:11" x14ac:dyDescent="0.2"/>
    <row r="2" spans="2:11" ht="15" x14ac:dyDescent="0.25">
      <c r="B2"/>
      <c r="C2" s="101"/>
      <c r="D2" s="481" t="s">
        <v>936</v>
      </c>
      <c r="E2" s="481"/>
      <c r="F2" s="283" t="s">
        <v>938</v>
      </c>
    </row>
    <row r="3" spans="2:11" ht="23.25" x14ac:dyDescent="0.35">
      <c r="B3" s="453" t="s">
        <v>933</v>
      </c>
      <c r="C3" s="453"/>
      <c r="D3" s="480">
        <v>75</v>
      </c>
      <c r="E3" s="480"/>
      <c r="F3" s="432">
        <v>2</v>
      </c>
    </row>
    <row r="4" spans="2:11" ht="23.25" x14ac:dyDescent="0.35">
      <c r="B4" s="453" t="s">
        <v>934</v>
      </c>
      <c r="C4" s="453"/>
      <c r="D4" s="480">
        <v>65</v>
      </c>
      <c r="E4" s="480"/>
      <c r="F4" s="432"/>
      <c r="H4" s="287" t="str">
        <f>IF(OR((D3-D4)&lt;3,(D4-D5)&lt;3,(D3-D4)&gt;25,D5&lt;15,ISERROR(D17)),"Bitte überprüfen Sie ihre Eingaben!","")</f>
        <v/>
      </c>
    </row>
    <row r="5" spans="2:11" ht="23.25" x14ac:dyDescent="0.35">
      <c r="B5" s="453" t="s">
        <v>935</v>
      </c>
      <c r="C5" s="453"/>
      <c r="D5" s="480">
        <v>20</v>
      </c>
      <c r="E5" s="480"/>
      <c r="F5" s="432"/>
    </row>
    <row r="6" spans="2:11" x14ac:dyDescent="0.2"/>
    <row r="7" spans="2:11" ht="25.5" customHeight="1" x14ac:dyDescent="0.4">
      <c r="B7" s="171" t="str">
        <f>CONCATENATE(VLOOKUP(46,TXT,$F$3,0),"  POWER+")</f>
        <v>Bodenkonvektor Modell LIB-120  POWER+</v>
      </c>
      <c r="C7" s="260"/>
      <c r="D7" s="260"/>
      <c r="E7" s="260"/>
      <c r="F7" s="260"/>
      <c r="G7" s="260"/>
      <c r="H7" s="260"/>
      <c r="I7" s="260"/>
      <c r="J7" s="261"/>
      <c r="K7" s="170"/>
    </row>
    <row r="8" spans="2:11" ht="17.25" customHeight="1" x14ac:dyDescent="0.4">
      <c r="B8" s="172" t="str">
        <f>VLOOKUP(47,TXT,$F$3,0)</f>
        <v>für freie Konvektion</v>
      </c>
      <c r="C8" s="262"/>
      <c r="D8" s="262"/>
      <c r="E8" s="262"/>
      <c r="F8" s="262"/>
      <c r="G8" s="262"/>
      <c r="H8" s="262"/>
      <c r="I8" s="262"/>
      <c r="J8" s="263"/>
      <c r="K8" s="170"/>
    </row>
    <row r="9" spans="2:11" x14ac:dyDescent="0.2"/>
    <row r="10" spans="2:11" ht="23.25" x14ac:dyDescent="0.2">
      <c r="B10" s="487" t="str">
        <f>VLOOKUP(10,TXT,$F$3,0)</f>
        <v>Heizmedium</v>
      </c>
      <c r="C10" s="487"/>
      <c r="D10" s="488" t="str">
        <f>CONCATENATE(D3,"° / ",D4," °C")</f>
        <v>75° / 65 °C</v>
      </c>
      <c r="E10" s="488"/>
      <c r="F10" s="488"/>
      <c r="G10" s="489">
        <f>SUM(D5)</f>
        <v>20</v>
      </c>
      <c r="H10" s="489"/>
      <c r="I10" s="490"/>
      <c r="J10" s="490"/>
    </row>
    <row r="11" spans="2:11" x14ac:dyDescent="0.2"/>
    <row r="12" spans="2:11" ht="17.25" customHeight="1" x14ac:dyDescent="0.25">
      <c r="B12" s="491" t="str">
        <f>VLOOKUP(9,TXT,$F$3,0)</f>
        <v>Modell</v>
      </c>
      <c r="C12" s="491"/>
      <c r="D12" s="264" t="s">
        <v>1387</v>
      </c>
      <c r="E12" s="264" t="s">
        <v>1388</v>
      </c>
      <c r="F12" s="264" t="s">
        <v>1389</v>
      </c>
      <c r="G12" s="264" t="s">
        <v>1390</v>
      </c>
      <c r="H12" s="264" t="s">
        <v>1391</v>
      </c>
      <c r="I12" s="264" t="s">
        <v>1392</v>
      </c>
      <c r="J12" s="264" t="s">
        <v>1393</v>
      </c>
    </row>
    <row r="13" spans="2:11" x14ac:dyDescent="0.2">
      <c r="B13" s="492" t="s">
        <v>1351</v>
      </c>
      <c r="C13" s="492"/>
      <c r="D13" s="265">
        <v>176</v>
      </c>
      <c r="E13" s="265">
        <v>224</v>
      </c>
      <c r="F13" s="265">
        <v>240</v>
      </c>
      <c r="G13" s="265">
        <v>272</v>
      </c>
      <c r="H13" s="265">
        <v>304</v>
      </c>
      <c r="I13" s="265">
        <v>336</v>
      </c>
      <c r="J13" s="265">
        <v>368</v>
      </c>
    </row>
    <row r="14" spans="2:11" x14ac:dyDescent="0.2">
      <c r="B14" s="492" t="s">
        <v>1352</v>
      </c>
      <c r="C14" s="492"/>
      <c r="D14" s="265">
        <v>120</v>
      </c>
      <c r="E14" s="265">
        <v>120</v>
      </c>
      <c r="F14" s="265">
        <v>120</v>
      </c>
      <c r="G14" s="265">
        <v>120</v>
      </c>
      <c r="H14" s="265">
        <v>120</v>
      </c>
      <c r="I14" s="265">
        <v>120</v>
      </c>
      <c r="J14" s="265">
        <v>120</v>
      </c>
    </row>
    <row r="15" spans="2:11" x14ac:dyDescent="0.2">
      <c r="B15" s="266"/>
      <c r="C15" s="266"/>
      <c r="D15" s="265" t="s">
        <v>1394</v>
      </c>
      <c r="E15" s="265" t="s">
        <v>1394</v>
      </c>
      <c r="F15" s="265" t="s">
        <v>1394</v>
      </c>
      <c r="G15" s="265" t="s">
        <v>1395</v>
      </c>
      <c r="H15" s="265" t="s">
        <v>1395</v>
      </c>
      <c r="I15" s="265" t="s">
        <v>1396</v>
      </c>
      <c r="J15" s="265" t="s">
        <v>1396</v>
      </c>
    </row>
    <row r="16" spans="2:11" ht="18.75" customHeight="1" x14ac:dyDescent="0.2">
      <c r="B16" s="492" t="s">
        <v>1356</v>
      </c>
      <c r="C16" s="492"/>
      <c r="D16" s="485" t="str">
        <f>VLOOKUP(13,TXT,$F$3,0)</f>
        <v>Leistungen [W]</v>
      </c>
      <c r="E16" s="485"/>
      <c r="F16" s="485"/>
      <c r="G16" s="485" t="str">
        <f>VLOOKUP(45,TXT,$F$3,0)</f>
        <v>Wassermassenstrom [kg/h] *</v>
      </c>
      <c r="H16" s="485"/>
      <c r="I16" s="485"/>
      <c r="J16" s="486"/>
    </row>
    <row r="17" spans="2:10" ht="12.75" customHeight="1" x14ac:dyDescent="0.2">
      <c r="B17" s="484">
        <v>750</v>
      </c>
      <c r="C17" s="484"/>
      <c r="D17" s="175">
        <f>ROUND('BASE-C120POWER'!C2*(VLOOKUP(ROUND(((($D$3+$D$4)/2)-$D$5),3),FAKT_C109,2,-1)),0)</f>
        <v>122</v>
      </c>
      <c r="E17" s="175">
        <f>ROUND('BASE-C120POWER'!D2*(VLOOKUP(ROUND(((($D$3+$D$4)/2)-$D$5),3),FAKT_C109,2,-1)),0)</f>
        <v>151</v>
      </c>
      <c r="F17" s="175">
        <f>ROUND('BASE-C120POWER'!E2*(VLOOKUP(ROUND(((($D$3+$D$4)/2)-$D$5),3),FAKT_C109,2,-1)),0)</f>
        <v>156</v>
      </c>
      <c r="G17" s="175">
        <f>ROUND('BASE-C120POWER'!F2*(VLOOKUP(ROUND(((($D$3+$D$4)/2)-$D$5),3),FAKT_C109,2,-1)),0)</f>
        <v>201</v>
      </c>
      <c r="H17" s="175">
        <f>ROUND('BASE-C120POWER'!G2*(VLOOKUP(ROUND(((($D$3+$D$4)/2)-$D$5),3),FAKT_C109,2,-1)),0)</f>
        <v>214</v>
      </c>
      <c r="I17" s="175">
        <f>ROUND('BASE-C120POWER'!H2*(VLOOKUP(ROUND(((($D$3+$D$4)/2)-$D$5),3),FAKT_C109,2,-1)),0)</f>
        <v>231</v>
      </c>
      <c r="J17" s="176">
        <f>ROUND('BASE-C120POWER'!I2*(VLOOKUP(ROUND(((($D$3+$D$4)/2)-$D$5),3),FAKT_C109,2,-1)),0)</f>
        <v>265</v>
      </c>
    </row>
    <row r="18" spans="2:10" ht="12.75" customHeight="1" x14ac:dyDescent="0.2">
      <c r="B18" s="484"/>
      <c r="C18" s="484"/>
      <c r="D18" s="177">
        <f t="shared" ref="D18:J18" si="0">ROUNDDOWN(D17/(1.161*($D$3-$D$4)),0)</f>
        <v>10</v>
      </c>
      <c r="E18" s="177">
        <f t="shared" si="0"/>
        <v>13</v>
      </c>
      <c r="F18" s="177">
        <f t="shared" si="0"/>
        <v>13</v>
      </c>
      <c r="G18" s="177">
        <f t="shared" si="0"/>
        <v>17</v>
      </c>
      <c r="H18" s="177">
        <f t="shared" si="0"/>
        <v>18</v>
      </c>
      <c r="I18" s="177">
        <f t="shared" si="0"/>
        <v>19</v>
      </c>
      <c r="J18" s="178">
        <f t="shared" si="0"/>
        <v>22</v>
      </c>
    </row>
    <row r="19" spans="2:10" ht="12.75" customHeight="1" x14ac:dyDescent="0.2">
      <c r="B19" s="483">
        <v>850</v>
      </c>
      <c r="C19" s="483">
        <v>1000</v>
      </c>
      <c r="D19" s="267">
        <f>ROUND('BASE-C120POWER'!C3*(VLOOKUP(ROUND(((($D$3+$D$4)/2)-$D$5),3),FAKT_C109,2,-1)),0)</f>
        <v>152</v>
      </c>
      <c r="E19" s="267">
        <f>ROUND('BASE-C120POWER'!D3*(VLOOKUP(ROUND(((($D$3+$D$4)/2)-$D$5),3),FAKT_C109,2,-1)),0)</f>
        <v>189</v>
      </c>
      <c r="F19" s="267">
        <f>ROUND('BASE-C120POWER'!E3*(VLOOKUP(ROUND(((($D$3+$D$4)/2)-$D$5),3),FAKT_C109,2,-1)),0)</f>
        <v>195</v>
      </c>
      <c r="G19" s="267">
        <f>ROUND('BASE-C120POWER'!F3*(VLOOKUP(ROUND(((($D$3+$D$4)/2)-$D$5),3),FAKT_C109,2,-1)),0)</f>
        <v>251</v>
      </c>
      <c r="H19" s="267">
        <f>ROUND('BASE-C120POWER'!G3*(VLOOKUP(ROUND(((($D$3+$D$4)/2)-$D$5),3),FAKT_C109,2,-1)),0)</f>
        <v>268</v>
      </c>
      <c r="I19" s="267">
        <f>ROUND('BASE-C120POWER'!H3*(VLOOKUP(ROUND(((($D$3+$D$4)/2)-$D$5),3),FAKT_C109,2,-1)),0)</f>
        <v>288</v>
      </c>
      <c r="J19" s="268">
        <f>ROUND('BASE-C120POWER'!I3*(VLOOKUP(ROUND(((($D$3+$D$4)/2)-$D$5),3),FAKT_C109,2,-1)),0)</f>
        <v>331</v>
      </c>
    </row>
    <row r="20" spans="2:10" ht="12.75" customHeight="1" x14ac:dyDescent="0.2">
      <c r="B20" s="483"/>
      <c r="C20" s="483"/>
      <c r="D20" s="269">
        <f t="shared" ref="D20:J20" si="1">ROUNDDOWN(D19/(1.161*($D$3-$D$4)),0)</f>
        <v>13</v>
      </c>
      <c r="E20" s="269">
        <f t="shared" si="1"/>
        <v>16</v>
      </c>
      <c r="F20" s="269">
        <f t="shared" si="1"/>
        <v>16</v>
      </c>
      <c r="G20" s="269">
        <f t="shared" si="1"/>
        <v>21</v>
      </c>
      <c r="H20" s="269">
        <f t="shared" si="1"/>
        <v>23</v>
      </c>
      <c r="I20" s="269">
        <f t="shared" si="1"/>
        <v>24</v>
      </c>
      <c r="J20" s="270">
        <f t="shared" si="1"/>
        <v>28</v>
      </c>
    </row>
    <row r="21" spans="2:10" ht="12.75" customHeight="1" x14ac:dyDescent="0.2">
      <c r="B21" s="482">
        <v>950</v>
      </c>
      <c r="C21" s="482"/>
      <c r="D21" s="175">
        <f>ROUND('BASE-C120POWER'!C4*(VLOOKUP(ROUND(((($D$3+$D$4)/2)-$D$5),3),FAKT_C109,2,-1)),0)</f>
        <v>183</v>
      </c>
      <c r="E21" s="175">
        <f>ROUND('BASE-C120POWER'!D4*(VLOOKUP(ROUND(((($D$3+$D$4)/2)-$D$5),3),FAKT_C109,2,-1)),0)</f>
        <v>226</v>
      </c>
      <c r="F21" s="175">
        <f>ROUND('BASE-C120POWER'!E4*(VLOOKUP(ROUND(((($D$3+$D$4)/2)-$D$5),3),FAKT_C109,2,-1)),0)</f>
        <v>233</v>
      </c>
      <c r="G21" s="175">
        <f>ROUND('BASE-C120POWER'!F4*(VLOOKUP(ROUND(((($D$3+$D$4)/2)-$D$5),3),FAKT_C109,2,-1)),0)</f>
        <v>301</v>
      </c>
      <c r="H21" s="175">
        <f>ROUND('BASE-C120POWER'!G4*(VLOOKUP(ROUND(((($D$3+$D$4)/2)-$D$5),3),FAKT_C109,2,-1)),0)</f>
        <v>321</v>
      </c>
      <c r="I21" s="175">
        <f>ROUND('BASE-C120POWER'!H4*(VLOOKUP(ROUND(((($D$3+$D$4)/2)-$D$5),3),FAKT_C109,2,-1)),0)</f>
        <v>346</v>
      </c>
      <c r="J21" s="176">
        <f>ROUND('BASE-C120POWER'!I4*(VLOOKUP(ROUND(((($D$3+$D$4)/2)-$D$5),3),FAKT_C109,2,-1)),0)</f>
        <v>397</v>
      </c>
    </row>
    <row r="22" spans="2:10" ht="12.75" customHeight="1" x14ac:dyDescent="0.2">
      <c r="B22" s="482"/>
      <c r="C22" s="482"/>
      <c r="D22" s="177">
        <f t="shared" ref="D22:J22" si="2">ROUNDDOWN(D21/(1.161*($D$3-$D$4)),0)</f>
        <v>15</v>
      </c>
      <c r="E22" s="177">
        <f t="shared" si="2"/>
        <v>19</v>
      </c>
      <c r="F22" s="177">
        <f t="shared" si="2"/>
        <v>20</v>
      </c>
      <c r="G22" s="177">
        <f t="shared" si="2"/>
        <v>25</v>
      </c>
      <c r="H22" s="177">
        <f t="shared" si="2"/>
        <v>27</v>
      </c>
      <c r="I22" s="177">
        <f t="shared" si="2"/>
        <v>29</v>
      </c>
      <c r="J22" s="178">
        <f t="shared" si="2"/>
        <v>34</v>
      </c>
    </row>
    <row r="23" spans="2:10" ht="12.75" customHeight="1" x14ac:dyDescent="0.2">
      <c r="B23" s="483">
        <v>1050</v>
      </c>
      <c r="C23" s="483"/>
      <c r="D23" s="267">
        <f>ROUND('BASE-C120POWER'!C5*(VLOOKUP(ROUND(((($D$3+$D$4)/2)-$D$5),3),FAKT_C109,2,-1)),0)</f>
        <v>213</v>
      </c>
      <c r="E23" s="267">
        <f>ROUND('BASE-C120POWER'!D5*(VLOOKUP(ROUND(((($D$3+$D$4)/2)-$D$5),3),FAKT_C109,2,-1)),0)</f>
        <v>264</v>
      </c>
      <c r="F23" s="267">
        <f>ROUND('BASE-C120POWER'!E5*(VLOOKUP(ROUND(((($D$3+$D$4)/2)-$D$5),3),FAKT_C109,2,-1)),0)</f>
        <v>272</v>
      </c>
      <c r="G23" s="267">
        <f>ROUND('BASE-C120POWER'!F5*(VLOOKUP(ROUND(((($D$3+$D$4)/2)-$D$5),3),FAKT_C109,2,-1)),0)</f>
        <v>351</v>
      </c>
      <c r="H23" s="267">
        <f>ROUND('BASE-C120POWER'!G5*(VLOOKUP(ROUND(((($D$3+$D$4)/2)-$D$5),3),FAKT_C109,2,-1)),0)</f>
        <v>374</v>
      </c>
      <c r="I23" s="267">
        <f>ROUND('BASE-C120POWER'!H5*(VLOOKUP(ROUND(((($D$3+$D$4)/2)-$D$5),3),FAKT_C109,2,-1)),0)</f>
        <v>403</v>
      </c>
      <c r="J23" s="268">
        <f>ROUND('BASE-C120POWER'!I5*(VLOOKUP(ROUND(((($D$3+$D$4)/2)-$D$5),3),FAKT_C109,2,-1)),0)</f>
        <v>463</v>
      </c>
    </row>
    <row r="24" spans="2:10" ht="12.75" customHeight="1" x14ac:dyDescent="0.2">
      <c r="B24" s="483"/>
      <c r="C24" s="483"/>
      <c r="D24" s="269">
        <f t="shared" ref="D24:J24" si="3">ROUNDDOWN(D23/(1.161*($D$3-$D$4)),0)</f>
        <v>18</v>
      </c>
      <c r="E24" s="269">
        <f t="shared" si="3"/>
        <v>22</v>
      </c>
      <c r="F24" s="269">
        <f t="shared" si="3"/>
        <v>23</v>
      </c>
      <c r="G24" s="269">
        <f t="shared" si="3"/>
        <v>30</v>
      </c>
      <c r="H24" s="269">
        <f t="shared" si="3"/>
        <v>32</v>
      </c>
      <c r="I24" s="269">
        <f t="shared" si="3"/>
        <v>34</v>
      </c>
      <c r="J24" s="270">
        <f t="shared" si="3"/>
        <v>39</v>
      </c>
    </row>
    <row r="25" spans="2:10" ht="12.75" customHeight="1" x14ac:dyDescent="0.2">
      <c r="B25" s="482">
        <v>1150</v>
      </c>
      <c r="C25" s="482"/>
      <c r="D25" s="175">
        <f>ROUND('BASE-C120POWER'!C6*(VLOOKUP(ROUND(((($D$3+$D$4)/2)-$D$5),3),FAKT_C109,2,-1)),0)</f>
        <v>243</v>
      </c>
      <c r="E25" s="175">
        <f>ROUND('BASE-C120POWER'!D6*(VLOOKUP(ROUND(((($D$3+$D$4)/2)-$D$5),3),FAKT_C109,2,-1)),0)</f>
        <v>302</v>
      </c>
      <c r="F25" s="175">
        <f>ROUND('BASE-C120POWER'!E6*(VLOOKUP(ROUND(((($D$3+$D$4)/2)-$D$5),3),FAKT_C109,2,-1)),0)</f>
        <v>312</v>
      </c>
      <c r="G25" s="175">
        <f>ROUND('BASE-C120POWER'!F6*(VLOOKUP(ROUND(((($D$3+$D$4)/2)-$D$5),3),FAKT_C109,2,-1)),0)</f>
        <v>402</v>
      </c>
      <c r="H25" s="175">
        <f>ROUND('BASE-C120POWER'!G6*(VLOOKUP(ROUND(((($D$3+$D$4)/2)-$D$5),3),FAKT_C109,2,-1)),0)</f>
        <v>429</v>
      </c>
      <c r="I25" s="175">
        <f>ROUND('BASE-C120POWER'!H6*(VLOOKUP(ROUND(((($D$3+$D$4)/2)-$D$5),3),FAKT_C109,2,-1)),0)</f>
        <v>462</v>
      </c>
      <c r="J25" s="176">
        <f>ROUND('BASE-C120POWER'!I6*(VLOOKUP(ROUND(((($D$3+$D$4)/2)-$D$5),3),FAKT_C109,2,-1)),0)</f>
        <v>530</v>
      </c>
    </row>
    <row r="26" spans="2:10" ht="12.75" customHeight="1" x14ac:dyDescent="0.2">
      <c r="B26" s="482"/>
      <c r="C26" s="482"/>
      <c r="D26" s="177">
        <f t="shared" ref="D26:J26" si="4">ROUNDDOWN(D25/(1.161*($D$3-$D$4)),0)</f>
        <v>20</v>
      </c>
      <c r="E26" s="177">
        <f t="shared" si="4"/>
        <v>26</v>
      </c>
      <c r="F26" s="177">
        <f t="shared" si="4"/>
        <v>26</v>
      </c>
      <c r="G26" s="177">
        <f t="shared" si="4"/>
        <v>34</v>
      </c>
      <c r="H26" s="177">
        <f t="shared" si="4"/>
        <v>36</v>
      </c>
      <c r="I26" s="177">
        <f t="shared" si="4"/>
        <v>39</v>
      </c>
      <c r="J26" s="178">
        <f t="shared" si="4"/>
        <v>45</v>
      </c>
    </row>
    <row r="27" spans="2:10" ht="12.75" customHeight="1" x14ac:dyDescent="0.2">
      <c r="B27" s="483">
        <v>1250</v>
      </c>
      <c r="C27" s="483"/>
      <c r="D27" s="267">
        <f>ROUND('BASE-C120POWER'!C7*(VLOOKUP(ROUND(((($D$3+$D$4)/2)-$D$5),3),FAKT_C109,2,-1)),0)</f>
        <v>274</v>
      </c>
      <c r="E27" s="267">
        <f>ROUND('BASE-C120POWER'!D7*(VLOOKUP(ROUND(((($D$3+$D$4)/2)-$D$5),3),FAKT_C109,2,-1)),0)</f>
        <v>339</v>
      </c>
      <c r="F27" s="267">
        <f>ROUND('BASE-C120POWER'!E7*(VLOOKUP(ROUND(((($D$3+$D$4)/2)-$D$5),3),FAKT_C109,2,-1)),0)</f>
        <v>350</v>
      </c>
      <c r="G27" s="267">
        <f>ROUND('BASE-C120POWER'!F7*(VLOOKUP(ROUND(((($D$3+$D$4)/2)-$D$5),3),FAKT_C109,2,-1)),0)</f>
        <v>452</v>
      </c>
      <c r="H27" s="267">
        <f>ROUND('BASE-C120POWER'!G7*(VLOOKUP(ROUND(((($D$3+$D$4)/2)-$D$5),3),FAKT_C109,2,-1)),0)</f>
        <v>482</v>
      </c>
      <c r="I27" s="267">
        <f>ROUND('BASE-C120POWER'!H7*(VLOOKUP(ROUND(((($D$3+$D$4)/2)-$D$5),3),FAKT_C109,2,-1)),0)</f>
        <v>519</v>
      </c>
      <c r="J27" s="268">
        <f>ROUND('BASE-C120POWER'!I7*(VLOOKUP(ROUND(((($D$3+$D$4)/2)-$D$5),3),FAKT_C109,2,-1)),0)</f>
        <v>596</v>
      </c>
    </row>
    <row r="28" spans="2:10" ht="12.75" customHeight="1" x14ac:dyDescent="0.2">
      <c r="B28" s="483"/>
      <c r="C28" s="483"/>
      <c r="D28" s="269">
        <f t="shared" ref="D28:J28" si="5">ROUNDDOWN(D27/(1.161*($D$3-$D$4)),0)</f>
        <v>23</v>
      </c>
      <c r="E28" s="269">
        <f t="shared" si="5"/>
        <v>29</v>
      </c>
      <c r="F28" s="269">
        <f t="shared" si="5"/>
        <v>30</v>
      </c>
      <c r="G28" s="269">
        <f t="shared" si="5"/>
        <v>38</v>
      </c>
      <c r="H28" s="269">
        <f t="shared" si="5"/>
        <v>41</v>
      </c>
      <c r="I28" s="269">
        <f t="shared" si="5"/>
        <v>44</v>
      </c>
      <c r="J28" s="270">
        <f t="shared" si="5"/>
        <v>51</v>
      </c>
    </row>
    <row r="29" spans="2:10" ht="12.75" customHeight="1" x14ac:dyDescent="0.2">
      <c r="B29" s="482">
        <v>1350</v>
      </c>
      <c r="C29" s="482"/>
      <c r="D29" s="175">
        <f>ROUND('BASE-C120POWER'!C8*(VLOOKUP(ROUND(((($D$3+$D$4)/2)-$D$5),3),FAKT_C109,2,-1)),0)</f>
        <v>304</v>
      </c>
      <c r="E29" s="175">
        <f>ROUND('BASE-C120POWER'!D8*(VLOOKUP(ROUND(((($D$3+$D$4)/2)-$D$5),3),FAKT_C109,2,-1)),0)</f>
        <v>377</v>
      </c>
      <c r="F29" s="175">
        <f>ROUND('BASE-C120POWER'!E8*(VLOOKUP(ROUND(((($D$3+$D$4)/2)-$D$5),3),FAKT_C109,2,-1)),0)</f>
        <v>389</v>
      </c>
      <c r="G29" s="175">
        <f>ROUND('BASE-C120POWER'!F8*(VLOOKUP(ROUND(((($D$3+$D$4)/2)-$D$5),3),FAKT_C109,2,-1)),0)</f>
        <v>502</v>
      </c>
      <c r="H29" s="175">
        <f>ROUND('BASE-C120POWER'!G8*(VLOOKUP(ROUND(((($D$3+$D$4)/2)-$D$5),3),FAKT_C109,2,-1)),0)</f>
        <v>535</v>
      </c>
      <c r="I29" s="175">
        <f>ROUND('BASE-C120POWER'!H8*(VLOOKUP(ROUND(((($D$3+$D$4)/2)-$D$5),3),FAKT_C109,2,-1)),0)</f>
        <v>577</v>
      </c>
      <c r="J29" s="176">
        <f>ROUND('BASE-C120POWER'!I8*(VLOOKUP(ROUND(((($D$3+$D$4)/2)-$D$5),3),FAKT_C109,2,-1)),0)</f>
        <v>662</v>
      </c>
    </row>
    <row r="30" spans="2:10" ht="12.75" customHeight="1" x14ac:dyDescent="0.2">
      <c r="B30" s="482"/>
      <c r="C30" s="482"/>
      <c r="D30" s="177">
        <f t="shared" ref="D30:J30" si="6">ROUNDDOWN(D29/(1.161*($D$3-$D$4)),0)</f>
        <v>26</v>
      </c>
      <c r="E30" s="177">
        <f t="shared" si="6"/>
        <v>32</v>
      </c>
      <c r="F30" s="177">
        <f t="shared" si="6"/>
        <v>33</v>
      </c>
      <c r="G30" s="177">
        <f t="shared" si="6"/>
        <v>43</v>
      </c>
      <c r="H30" s="177">
        <f t="shared" si="6"/>
        <v>46</v>
      </c>
      <c r="I30" s="177">
        <f t="shared" si="6"/>
        <v>49</v>
      </c>
      <c r="J30" s="178">
        <f t="shared" si="6"/>
        <v>57</v>
      </c>
    </row>
    <row r="31" spans="2:10" ht="12.75" customHeight="1" x14ac:dyDescent="0.2">
      <c r="B31" s="483">
        <v>1550</v>
      </c>
      <c r="C31" s="483"/>
      <c r="D31" s="267">
        <f>ROUND('BASE-C120POWER'!C9*(VLOOKUP(ROUND(((($D$3+$D$4)/2)-$D$5),3),FAKT_C109,2,-1)),0)</f>
        <v>365</v>
      </c>
      <c r="E31" s="267">
        <f>ROUND('BASE-C120POWER'!D9*(VLOOKUP(ROUND(((($D$3+$D$4)/2)-$D$5),3),FAKT_C109,2,-1)),0)</f>
        <v>452</v>
      </c>
      <c r="F31" s="267">
        <f>ROUND('BASE-C120POWER'!E9*(VLOOKUP(ROUND(((($D$3+$D$4)/2)-$D$5),3),FAKT_C109,2,-1)),0)</f>
        <v>466</v>
      </c>
      <c r="G31" s="267">
        <f>ROUND('BASE-C120POWER'!F9*(VLOOKUP(ROUND(((($D$3+$D$4)/2)-$D$5),3),FAKT_C109,2,-1)),0)</f>
        <v>602</v>
      </c>
      <c r="H31" s="267">
        <f>ROUND('BASE-C120POWER'!G9*(VLOOKUP(ROUND(((($D$3+$D$4)/2)-$D$5),3),FAKT_C109,2,-1)),0)</f>
        <v>642</v>
      </c>
      <c r="I31" s="267">
        <f>ROUND('BASE-C120POWER'!H9*(VLOOKUP(ROUND(((($D$3+$D$4)/2)-$D$5),3),FAKT_C109,2,-1)),0)</f>
        <v>692</v>
      </c>
      <c r="J31" s="268">
        <f>ROUND('BASE-C120POWER'!I9*(VLOOKUP(ROUND(((($D$3+$D$4)/2)-$D$5),3),FAKT_C109,2,-1)),0)</f>
        <v>794</v>
      </c>
    </row>
    <row r="32" spans="2:10" ht="12.75" customHeight="1" x14ac:dyDescent="0.2">
      <c r="B32" s="483"/>
      <c r="C32" s="483"/>
      <c r="D32" s="269">
        <f t="shared" ref="D32:J32" si="7">ROUNDDOWN(D31/(1.161*($D$3-$D$4)),0)</f>
        <v>31</v>
      </c>
      <c r="E32" s="269">
        <f t="shared" si="7"/>
        <v>38</v>
      </c>
      <c r="F32" s="269">
        <f t="shared" si="7"/>
        <v>40</v>
      </c>
      <c r="G32" s="269">
        <f t="shared" si="7"/>
        <v>51</v>
      </c>
      <c r="H32" s="269">
        <f t="shared" si="7"/>
        <v>55</v>
      </c>
      <c r="I32" s="269">
        <f t="shared" si="7"/>
        <v>59</v>
      </c>
      <c r="J32" s="270">
        <f t="shared" si="7"/>
        <v>68</v>
      </c>
    </row>
    <row r="33" spans="2:10" ht="12.75" customHeight="1" x14ac:dyDescent="0.2">
      <c r="B33" s="482">
        <v>1750</v>
      </c>
      <c r="C33" s="482"/>
      <c r="D33" s="175">
        <f>ROUND('BASE-C120POWER'!C10*(VLOOKUP(ROUND(((($D$3+$D$4)/2)-$D$5),3),FAKT_C109,2,-1)),0)</f>
        <v>426</v>
      </c>
      <c r="E33" s="175">
        <f>ROUND('BASE-C120POWER'!D10*(VLOOKUP(ROUND(((($D$3+$D$4)/2)-$D$5),3),FAKT_C109,2,-1)),0)</f>
        <v>528</v>
      </c>
      <c r="F33" s="175">
        <f>ROUND('BASE-C120POWER'!E10*(VLOOKUP(ROUND(((($D$3+$D$4)/2)-$D$5),3),FAKT_C109,2,-1)),0)</f>
        <v>545</v>
      </c>
      <c r="G33" s="175">
        <f>ROUND('BASE-C120POWER'!F10*(VLOOKUP(ROUND(((($D$3+$D$4)/2)-$D$5),3),FAKT_C109,2,-1)),0)</f>
        <v>703</v>
      </c>
      <c r="H33" s="175">
        <f>ROUND('BASE-C120POWER'!G10*(VLOOKUP(ROUND(((($D$3+$D$4)/2)-$D$5),3),FAKT_C109,2,-1)),0)</f>
        <v>750</v>
      </c>
      <c r="I33" s="175">
        <f>ROUND('BASE-C120POWER'!H10*(VLOOKUP(ROUND(((($D$3+$D$4)/2)-$D$5),3),FAKT_C109,2,-1)),0)</f>
        <v>808</v>
      </c>
      <c r="J33" s="176">
        <f>ROUND('BASE-C120POWER'!I10*(VLOOKUP(ROUND(((($D$3+$D$4)/2)-$D$5),3),FAKT_C109,2,-1)),0)</f>
        <v>927</v>
      </c>
    </row>
    <row r="34" spans="2:10" ht="12.75" customHeight="1" x14ac:dyDescent="0.2">
      <c r="B34" s="482"/>
      <c r="C34" s="482"/>
      <c r="D34" s="177">
        <f t="shared" ref="D34:J34" si="8">ROUNDDOWN(D33/(1.161*($D$3-$D$4)),0)</f>
        <v>36</v>
      </c>
      <c r="E34" s="177">
        <f t="shared" si="8"/>
        <v>45</v>
      </c>
      <c r="F34" s="177">
        <f t="shared" si="8"/>
        <v>46</v>
      </c>
      <c r="G34" s="177">
        <f t="shared" si="8"/>
        <v>60</v>
      </c>
      <c r="H34" s="177">
        <f t="shared" si="8"/>
        <v>64</v>
      </c>
      <c r="I34" s="177">
        <f t="shared" si="8"/>
        <v>69</v>
      </c>
      <c r="J34" s="178">
        <f t="shared" si="8"/>
        <v>79</v>
      </c>
    </row>
    <row r="35" spans="2:10" ht="12.75" customHeight="1" x14ac:dyDescent="0.2">
      <c r="B35" s="483">
        <v>1950</v>
      </c>
      <c r="C35" s="483"/>
      <c r="D35" s="267">
        <f>ROUND('BASE-C120POWER'!C11*(VLOOKUP(ROUND(((($D$3+$D$4)/2)-$D$5),3),FAKT_C109,2,-1)),0)</f>
        <v>487</v>
      </c>
      <c r="E35" s="267">
        <f>ROUND('BASE-C120POWER'!D11*(VLOOKUP(ROUND(((($D$3+$D$4)/2)-$D$5),3),FAKT_C109,2,-1)),0)</f>
        <v>603</v>
      </c>
      <c r="F35" s="267">
        <f>ROUND('BASE-C120POWER'!E11*(VLOOKUP(ROUND(((($D$3+$D$4)/2)-$D$5),3),FAKT_C109,2,-1)),0)</f>
        <v>622</v>
      </c>
      <c r="G35" s="267">
        <f>ROUND('BASE-C120POWER'!F11*(VLOOKUP(ROUND(((($D$3+$D$4)/2)-$D$5),3),FAKT_C109,2,-1)),0)</f>
        <v>804</v>
      </c>
      <c r="H35" s="267">
        <f>ROUND('BASE-C120POWER'!G11*(VLOOKUP(ROUND(((($D$3+$D$4)/2)-$D$5),3),FAKT_C109,2,-1)),0)</f>
        <v>857</v>
      </c>
      <c r="I35" s="267">
        <f>ROUND('BASE-C120POWER'!H11*(VLOOKUP(ROUND(((($D$3+$D$4)/2)-$D$5),3),FAKT_C109,2,-1)),0)</f>
        <v>923</v>
      </c>
      <c r="J35" s="268">
        <f>ROUND('BASE-C120POWER'!I11*(VLOOKUP(ROUND(((($D$3+$D$4)/2)-$D$5),3),FAKT_C109,2,-1)),0)</f>
        <v>1059</v>
      </c>
    </row>
    <row r="36" spans="2:10" ht="12.75" customHeight="1" x14ac:dyDescent="0.2">
      <c r="B36" s="483"/>
      <c r="C36" s="483"/>
      <c r="D36" s="269">
        <f t="shared" ref="D36:J36" si="9">ROUNDDOWN(D35/(1.161*($D$3-$D$4)),0)</f>
        <v>41</v>
      </c>
      <c r="E36" s="269">
        <f t="shared" si="9"/>
        <v>51</v>
      </c>
      <c r="F36" s="269">
        <f t="shared" si="9"/>
        <v>53</v>
      </c>
      <c r="G36" s="269">
        <f t="shared" si="9"/>
        <v>69</v>
      </c>
      <c r="H36" s="269">
        <f t="shared" si="9"/>
        <v>73</v>
      </c>
      <c r="I36" s="269">
        <f t="shared" si="9"/>
        <v>79</v>
      </c>
      <c r="J36" s="270">
        <f t="shared" si="9"/>
        <v>91</v>
      </c>
    </row>
    <row r="37" spans="2:10" ht="12.75" customHeight="1" x14ac:dyDescent="0.2">
      <c r="B37" s="482">
        <v>2150</v>
      </c>
      <c r="C37" s="482"/>
      <c r="D37" s="175">
        <f>ROUND('BASE-C120POWER'!C12*(VLOOKUP(ROUND(((($D$3+$D$4)/2)-$D$5),3),FAKT_C109,2,-1)),0)</f>
        <v>547</v>
      </c>
      <c r="E37" s="175">
        <f>ROUND('BASE-C120POWER'!D12*(VLOOKUP(ROUND(((($D$3+$D$4)/2)-$D$5),3),FAKT_C109,2,-1)),0)</f>
        <v>679</v>
      </c>
      <c r="F37" s="175">
        <f>ROUND('BASE-C120POWER'!E12*(VLOOKUP(ROUND(((($D$3+$D$4)/2)-$D$5),3),FAKT_C109,2,-1)),0)</f>
        <v>701</v>
      </c>
      <c r="G37" s="175">
        <f>ROUND('BASE-C120POWER'!F12*(VLOOKUP(ROUND(((($D$3+$D$4)/2)-$D$5),3),FAKT_C109,2,-1)),0)</f>
        <v>905</v>
      </c>
      <c r="H37" s="175">
        <f>ROUND('BASE-C120POWER'!G12*(VLOOKUP(ROUND(((($D$3+$D$4)/2)-$D$5),3),FAKT_C109,2,-1)),0)</f>
        <v>964</v>
      </c>
      <c r="I37" s="175">
        <f>ROUND('BASE-C120POWER'!H12*(VLOOKUP(ROUND(((($D$3+$D$4)/2)-$D$5),3),FAKT_C109,2,-1)),0)</f>
        <v>1038</v>
      </c>
      <c r="J37" s="176">
        <f>ROUND('BASE-C120POWER'!I12*(VLOOKUP(ROUND(((($D$3+$D$4)/2)-$D$5),3),FAKT_C109,2,-1)),0)</f>
        <v>1192</v>
      </c>
    </row>
    <row r="38" spans="2:10" ht="12.75" customHeight="1" x14ac:dyDescent="0.2">
      <c r="B38" s="482"/>
      <c r="C38" s="482"/>
      <c r="D38" s="177">
        <f t="shared" ref="D38:J38" si="10">ROUNDDOWN(D37/(1.161*($D$3-$D$4)),0)</f>
        <v>47</v>
      </c>
      <c r="E38" s="177">
        <f t="shared" si="10"/>
        <v>58</v>
      </c>
      <c r="F38" s="177">
        <f t="shared" si="10"/>
        <v>60</v>
      </c>
      <c r="G38" s="177">
        <f t="shared" si="10"/>
        <v>77</v>
      </c>
      <c r="H38" s="177">
        <f t="shared" si="10"/>
        <v>83</v>
      </c>
      <c r="I38" s="177">
        <f t="shared" si="10"/>
        <v>89</v>
      </c>
      <c r="J38" s="178">
        <f t="shared" si="10"/>
        <v>102</v>
      </c>
    </row>
    <row r="39" spans="2:10" ht="12.75" customHeight="1" x14ac:dyDescent="0.2">
      <c r="B39" s="483">
        <v>2350</v>
      </c>
      <c r="C39" s="483"/>
      <c r="D39" s="267">
        <f>ROUND('BASE-C120POWER'!C13*(VLOOKUP(ROUND(((($D$3+$D$4)/2)-$D$5),3),FAKT_C109,2,-1)),0)</f>
        <v>608</v>
      </c>
      <c r="E39" s="267">
        <f>ROUND('BASE-C120POWER'!D13*(VLOOKUP(ROUND(((($D$3+$D$4)/2)-$D$5),3),FAKT_C109,2,-1)),0)</f>
        <v>754</v>
      </c>
      <c r="F39" s="267">
        <f>ROUND('BASE-C120POWER'!E13*(VLOOKUP(ROUND(((($D$3+$D$4)/2)-$D$5),3),FAKT_C109,2,-1)),0)</f>
        <v>778</v>
      </c>
      <c r="G39" s="267">
        <f>ROUND('BASE-C120POWER'!F13*(VLOOKUP(ROUND(((($D$3+$D$4)/2)-$D$5),3),FAKT_C109,2,-1)),0)</f>
        <v>1005</v>
      </c>
      <c r="H39" s="267">
        <f>ROUND('BASE-C120POWER'!G13*(VLOOKUP(ROUND(((($D$3+$D$4)/2)-$D$5),3),FAKT_C109,2,-1)),0)</f>
        <v>1071</v>
      </c>
      <c r="I39" s="267">
        <f>ROUND('BASE-C120POWER'!H13*(VLOOKUP(ROUND(((($D$3+$D$4)/2)-$D$5),3),FAKT_C109,2,-1)),0)</f>
        <v>1153</v>
      </c>
      <c r="J39" s="268">
        <f>ROUND('BASE-C120POWER'!I13*(VLOOKUP(ROUND(((($D$3+$D$4)/2)-$D$5),3),FAKT_C109,2,-1)),0)</f>
        <v>1324</v>
      </c>
    </row>
    <row r="40" spans="2:10" ht="12.75" customHeight="1" x14ac:dyDescent="0.2">
      <c r="B40" s="483"/>
      <c r="C40" s="483"/>
      <c r="D40" s="269">
        <f t="shared" ref="D40:J40" si="11">ROUNDDOWN(D39/(1.161*($D$3-$D$4)),0)</f>
        <v>52</v>
      </c>
      <c r="E40" s="269">
        <f t="shared" si="11"/>
        <v>64</v>
      </c>
      <c r="F40" s="269">
        <f t="shared" si="11"/>
        <v>67</v>
      </c>
      <c r="G40" s="269">
        <f t="shared" si="11"/>
        <v>86</v>
      </c>
      <c r="H40" s="269">
        <f t="shared" si="11"/>
        <v>92</v>
      </c>
      <c r="I40" s="269">
        <f t="shared" si="11"/>
        <v>99</v>
      </c>
      <c r="J40" s="270">
        <f t="shared" si="11"/>
        <v>114</v>
      </c>
    </row>
    <row r="41" spans="2:10" ht="12.75" customHeight="1" x14ac:dyDescent="0.2">
      <c r="B41" s="482">
        <v>2550</v>
      </c>
      <c r="C41" s="482"/>
      <c r="D41" s="175">
        <f>ROUND('BASE-C120POWER'!C14*(VLOOKUP(ROUND(((($D$3+$D$4)/2)-$D$5),3),FAKT_C109,2,-1)),0)</f>
        <v>670</v>
      </c>
      <c r="E41" s="175">
        <f>ROUND('BASE-C120POWER'!D14*(VLOOKUP(ROUND(((($D$3+$D$4)/2)-$D$5),3),FAKT_C109,2,-1)),0)</f>
        <v>829</v>
      </c>
      <c r="F41" s="175">
        <f>ROUND('BASE-C120POWER'!E14*(VLOOKUP(ROUND(((($D$3+$D$4)/2)-$D$5),3),FAKT_C109,2,-1)),0)</f>
        <v>856</v>
      </c>
      <c r="G41" s="175">
        <f>ROUND('BASE-C120POWER'!F14*(VLOOKUP(ROUND(((($D$3+$D$4)/2)-$D$5),3),FAKT_C109,2,-1)),0)</f>
        <v>1105</v>
      </c>
      <c r="H41" s="175">
        <f>ROUND('BASE-C120POWER'!G14*(VLOOKUP(ROUND(((($D$3+$D$4)/2)-$D$5),3),FAKT_C109,2,-1)),0)</f>
        <v>1178</v>
      </c>
      <c r="I41" s="175">
        <f>ROUND('BASE-C120POWER'!H14*(VLOOKUP(ROUND(((($D$3+$D$4)/2)-$D$5),3),FAKT_C109,2,-1)),0)</f>
        <v>1268</v>
      </c>
      <c r="J41" s="176">
        <f>ROUND('BASE-C120POWER'!I14*(VLOOKUP(ROUND(((($D$3+$D$4)/2)-$D$5),3),FAKT_C109,2,-1)),0)</f>
        <v>1456</v>
      </c>
    </row>
    <row r="42" spans="2:10" ht="12.75" customHeight="1" x14ac:dyDescent="0.2">
      <c r="B42" s="482"/>
      <c r="C42" s="482"/>
      <c r="D42" s="177">
        <f t="shared" ref="D42:J42" si="12">ROUNDDOWN(D41/(1.161*($D$3-$D$4)),0)</f>
        <v>57</v>
      </c>
      <c r="E42" s="177">
        <f t="shared" si="12"/>
        <v>71</v>
      </c>
      <c r="F42" s="177">
        <f t="shared" si="12"/>
        <v>73</v>
      </c>
      <c r="G42" s="177">
        <f t="shared" si="12"/>
        <v>95</v>
      </c>
      <c r="H42" s="177">
        <f t="shared" si="12"/>
        <v>101</v>
      </c>
      <c r="I42" s="177">
        <f t="shared" si="12"/>
        <v>109</v>
      </c>
      <c r="J42" s="178">
        <f t="shared" si="12"/>
        <v>125</v>
      </c>
    </row>
    <row r="43" spans="2:10" ht="12.75" customHeight="1" x14ac:dyDescent="0.2">
      <c r="B43" s="483">
        <v>2750</v>
      </c>
      <c r="C43" s="483"/>
      <c r="D43" s="267">
        <f>ROUND('BASE-C120POWER'!C15*(VLOOKUP(ROUND(((($D$3+$D$4)/2)-$D$5),3),FAKT_C109,2,-1)),0)</f>
        <v>730</v>
      </c>
      <c r="E43" s="267">
        <f>ROUND('BASE-C120POWER'!D15*(VLOOKUP(ROUND(((($D$3+$D$4)/2)-$D$5),3),FAKT_C109,2,-1)),0)</f>
        <v>905</v>
      </c>
      <c r="F43" s="267">
        <f>ROUND('BASE-C120POWER'!E15*(VLOOKUP(ROUND(((($D$3+$D$4)/2)-$D$5),3),FAKT_C109,2,-1)),0)</f>
        <v>934</v>
      </c>
      <c r="G43" s="267">
        <f>ROUND('BASE-C120POWER'!F15*(VLOOKUP(ROUND(((($D$3+$D$4)/2)-$D$5),3),FAKT_C109,2,-1)),0)</f>
        <v>1206</v>
      </c>
      <c r="H43" s="267">
        <f>ROUND('BASE-C120POWER'!G15*(VLOOKUP(ROUND(((($D$3+$D$4)/2)-$D$5),3),FAKT_C109,2,-1)),0)</f>
        <v>1285</v>
      </c>
      <c r="I43" s="267">
        <f>ROUND('BASE-C120POWER'!H15*(VLOOKUP(ROUND(((($D$3+$D$4)/2)-$D$5),3),FAKT_C109,2,-1)),0)</f>
        <v>1384</v>
      </c>
      <c r="J43" s="268">
        <f>ROUND('BASE-C120POWER'!I15*(VLOOKUP(ROUND(((($D$3+$D$4)/2)-$D$5),3),FAKT_C109,2,-1)),0)</f>
        <v>1589</v>
      </c>
    </row>
    <row r="44" spans="2:10" ht="12.75" customHeight="1" x14ac:dyDescent="0.2">
      <c r="B44" s="483"/>
      <c r="C44" s="483"/>
      <c r="D44" s="269">
        <f t="shared" ref="D44:J44" si="13">ROUNDDOWN(D43/(1.161*($D$3-$D$4)),0)</f>
        <v>62</v>
      </c>
      <c r="E44" s="269">
        <f t="shared" si="13"/>
        <v>77</v>
      </c>
      <c r="F44" s="269">
        <f t="shared" si="13"/>
        <v>80</v>
      </c>
      <c r="G44" s="269">
        <f t="shared" si="13"/>
        <v>103</v>
      </c>
      <c r="H44" s="269">
        <f t="shared" si="13"/>
        <v>110</v>
      </c>
      <c r="I44" s="269">
        <f t="shared" si="13"/>
        <v>119</v>
      </c>
      <c r="J44" s="270">
        <f t="shared" si="13"/>
        <v>136</v>
      </c>
    </row>
    <row r="45" spans="2:10" ht="12.75" customHeight="1" x14ac:dyDescent="0.2">
      <c r="B45" s="482">
        <v>2950</v>
      </c>
      <c r="C45" s="482"/>
      <c r="D45" s="175">
        <f>ROUND('BASE-C120POWER'!C16*(VLOOKUP(ROUND(((($D$3+$D$4)/2)-$D$5),3),FAKT_C109,2,-1)),0)</f>
        <v>791</v>
      </c>
      <c r="E45" s="175">
        <f>ROUND('BASE-C120POWER'!D16*(VLOOKUP(ROUND(((($D$3+$D$4)/2)-$D$5),3),FAKT_C109,2,-1)),0)</f>
        <v>980</v>
      </c>
      <c r="F45" s="175">
        <f>ROUND('BASE-C120POWER'!E16*(VLOOKUP(ROUND(((($D$3+$D$4)/2)-$D$5),3),FAKT_C109,2,-1)),0)</f>
        <v>1011</v>
      </c>
      <c r="G45" s="175">
        <f>ROUND('BASE-C120POWER'!F16*(VLOOKUP(ROUND(((($D$3+$D$4)/2)-$D$5),3),FAKT_C109,2,-1)),0)</f>
        <v>1306</v>
      </c>
      <c r="H45" s="175">
        <f>ROUND('BASE-C120POWER'!G16*(VLOOKUP(ROUND(((($D$3+$D$4)/2)-$D$5),3),FAKT_C109,2,-1)),0)</f>
        <v>1392</v>
      </c>
      <c r="I45" s="175">
        <f>ROUND('BASE-C120POWER'!H16*(VLOOKUP(ROUND(((($D$3+$D$4)/2)-$D$5),3),FAKT_C109,2,-1)),0)</f>
        <v>1499</v>
      </c>
      <c r="J45" s="176">
        <f>ROUND('BASE-C120POWER'!I16*(VLOOKUP(ROUND(((($D$3+$D$4)/2)-$D$5),3),FAKT_C109,2,-1)),0)</f>
        <v>1721</v>
      </c>
    </row>
    <row r="46" spans="2:10" ht="12.75" customHeight="1" x14ac:dyDescent="0.2">
      <c r="B46" s="482"/>
      <c r="C46" s="482"/>
      <c r="D46" s="177">
        <f t="shared" ref="D46:J46" si="14">ROUNDDOWN(D45/(1.161*($D$3-$D$4)),0)</f>
        <v>68</v>
      </c>
      <c r="E46" s="177">
        <f t="shared" si="14"/>
        <v>84</v>
      </c>
      <c r="F46" s="177">
        <f t="shared" si="14"/>
        <v>87</v>
      </c>
      <c r="G46" s="177">
        <f t="shared" si="14"/>
        <v>112</v>
      </c>
      <c r="H46" s="177">
        <f t="shared" si="14"/>
        <v>119</v>
      </c>
      <c r="I46" s="177">
        <f t="shared" si="14"/>
        <v>129</v>
      </c>
      <c r="J46" s="178">
        <f t="shared" si="14"/>
        <v>148</v>
      </c>
    </row>
    <row r="47" spans="2:10" ht="12.75" customHeight="1" x14ac:dyDescent="0.2">
      <c r="B47" s="483">
        <v>3150</v>
      </c>
      <c r="C47" s="483"/>
      <c r="D47" s="267">
        <f>ROUND('BASE-C120POWER'!C17*(VLOOKUP(ROUND(((($D$3+$D$4)/2)-$D$5),3),FAKT_C109,2,-1)),0)</f>
        <v>851</v>
      </c>
      <c r="E47" s="267">
        <f>ROUND('BASE-C120POWER'!D17*(VLOOKUP(ROUND(((($D$3+$D$4)/2)-$D$5),3),FAKT_C109,2,-1)),0)</f>
        <v>1056</v>
      </c>
      <c r="F47" s="267">
        <f>ROUND('BASE-C120POWER'!E17*(VLOOKUP(ROUND(((($D$3+$D$4)/2)-$D$5),3),FAKT_C109,2,-1)),0)</f>
        <v>1090</v>
      </c>
      <c r="G47" s="267">
        <f>ROUND('BASE-C120POWER'!F17*(VLOOKUP(ROUND(((($D$3+$D$4)/2)-$D$5),3),FAKT_C109,2,-1)),0)</f>
        <v>1407</v>
      </c>
      <c r="H47" s="267">
        <f>ROUND('BASE-C120POWER'!G17*(VLOOKUP(ROUND(((($D$3+$D$4)/2)-$D$5),3),FAKT_C109,2,-1)),0)</f>
        <v>1500</v>
      </c>
      <c r="I47" s="267">
        <f>ROUND('BASE-C120POWER'!H17*(VLOOKUP(ROUND(((($D$3+$D$4)/2)-$D$5),3),FAKT_C109,2,-1)),0)</f>
        <v>1615</v>
      </c>
      <c r="J47" s="268">
        <f>ROUND('BASE-C120POWER'!I17*(VLOOKUP(ROUND(((($D$3+$D$4)/2)-$D$5),3),FAKT_C109,2,-1)),0)</f>
        <v>1854</v>
      </c>
    </row>
    <row r="48" spans="2:10" ht="12.75" customHeight="1" x14ac:dyDescent="0.2">
      <c r="B48" s="483"/>
      <c r="C48" s="483"/>
      <c r="D48" s="269">
        <f t="shared" ref="D48:J48" si="15">ROUNDDOWN(D47/(1.161*($D$3-$D$4)),0)</f>
        <v>73</v>
      </c>
      <c r="E48" s="269">
        <f t="shared" si="15"/>
        <v>90</v>
      </c>
      <c r="F48" s="269">
        <f t="shared" si="15"/>
        <v>93</v>
      </c>
      <c r="G48" s="269">
        <f t="shared" si="15"/>
        <v>121</v>
      </c>
      <c r="H48" s="269">
        <f t="shared" si="15"/>
        <v>129</v>
      </c>
      <c r="I48" s="269">
        <f t="shared" si="15"/>
        <v>139</v>
      </c>
      <c r="J48" s="270">
        <f t="shared" si="15"/>
        <v>159</v>
      </c>
    </row>
    <row r="49" spans="2:10" ht="12.75" customHeight="1" x14ac:dyDescent="0.2">
      <c r="B49" s="482">
        <v>3350</v>
      </c>
      <c r="C49" s="482"/>
      <c r="D49" s="175">
        <f>ROUND('BASE-C120POWER'!C18*(VLOOKUP(ROUND(((($D$3+$D$4)/2)-$D$5),3),FAKT_C109,2,-1)),0)</f>
        <v>913</v>
      </c>
      <c r="E49" s="175">
        <f>ROUND('BASE-C120POWER'!D18*(VLOOKUP(ROUND(((($D$3+$D$4)/2)-$D$5),3),FAKT_C109,2,-1)),0)</f>
        <v>1131</v>
      </c>
      <c r="F49" s="175">
        <f>ROUND('BASE-C120POWER'!E18*(VLOOKUP(ROUND(((($D$3+$D$4)/2)-$D$5),3),FAKT_C109,2,-1)),0)</f>
        <v>1167</v>
      </c>
      <c r="G49" s="175">
        <f>ROUND('BASE-C120POWER'!F18*(VLOOKUP(ROUND(((($D$3+$D$4)/2)-$D$5),3),FAKT_C109,2,-1)),0)</f>
        <v>1507</v>
      </c>
      <c r="H49" s="175">
        <f>ROUND('BASE-C120POWER'!G18*(VLOOKUP(ROUND(((($D$3+$D$4)/2)-$D$5),3),FAKT_C109,2,-1)),0)</f>
        <v>1606</v>
      </c>
      <c r="I49" s="175">
        <f>ROUND('BASE-C120POWER'!H18*(VLOOKUP(ROUND(((($D$3+$D$4)/2)-$D$5),3),FAKT_C109,2,-1)),0)</f>
        <v>1730</v>
      </c>
      <c r="J49" s="176">
        <f>ROUND('BASE-C120POWER'!I18*(VLOOKUP(ROUND(((($D$3+$D$4)/2)-$D$5),3),FAKT_C109,2,-1)),0)</f>
        <v>1986</v>
      </c>
    </row>
    <row r="50" spans="2:10" ht="12.75" customHeight="1" x14ac:dyDescent="0.2">
      <c r="B50" s="482"/>
      <c r="C50" s="482"/>
      <c r="D50" s="177">
        <f t="shared" ref="D50:J50" si="16">ROUNDDOWN(D49/(1.161*($D$3-$D$4)),0)</f>
        <v>78</v>
      </c>
      <c r="E50" s="177">
        <f t="shared" si="16"/>
        <v>97</v>
      </c>
      <c r="F50" s="177">
        <f t="shared" si="16"/>
        <v>100</v>
      </c>
      <c r="G50" s="177">
        <f t="shared" si="16"/>
        <v>129</v>
      </c>
      <c r="H50" s="177">
        <f t="shared" si="16"/>
        <v>138</v>
      </c>
      <c r="I50" s="177">
        <f t="shared" si="16"/>
        <v>149</v>
      </c>
      <c r="J50" s="178">
        <f t="shared" si="16"/>
        <v>171</v>
      </c>
    </row>
    <row r="51" spans="2:10" ht="12.75" customHeight="1" x14ac:dyDescent="0.2">
      <c r="B51" s="483">
        <v>3550</v>
      </c>
      <c r="C51" s="483"/>
      <c r="D51" s="267">
        <f>ROUND('BASE-C120POWER'!C19*(VLOOKUP(ROUND(((($D$3+$D$4)/2)-$D$5),3),FAKT_C109,2,-1)),0)</f>
        <v>974</v>
      </c>
      <c r="E51" s="267">
        <f>ROUND('BASE-C120POWER'!D19*(VLOOKUP(ROUND(((($D$3+$D$4)/2)-$D$5),3),FAKT_C109,2,-1)),0)</f>
        <v>1207</v>
      </c>
      <c r="F51" s="267">
        <f>ROUND('BASE-C120POWER'!E19*(VLOOKUP(ROUND(((($D$3+$D$4)/2)-$D$5),3),FAKT_C109,2,-1)),0)</f>
        <v>1245</v>
      </c>
      <c r="G51" s="267">
        <f>ROUND('BASE-C120POWER'!F19*(VLOOKUP(ROUND(((($D$3+$D$4)/2)-$D$5),3),FAKT_C109,2,-1)),0)</f>
        <v>1607</v>
      </c>
      <c r="H51" s="267">
        <f>ROUND('BASE-C120POWER'!G19*(VLOOKUP(ROUND(((($D$3+$D$4)/2)-$D$5),3),FAKT_C109,2,-1)),0)</f>
        <v>1713</v>
      </c>
      <c r="I51" s="267">
        <f>ROUND('BASE-C120POWER'!H19*(VLOOKUP(ROUND(((($D$3+$D$4)/2)-$D$5),3),FAKT_C109,2,-1)),0)</f>
        <v>1845</v>
      </c>
      <c r="J51" s="268">
        <f>ROUND('BASE-C120POWER'!I19*(VLOOKUP(ROUND(((($D$3+$D$4)/2)-$D$5),3),FAKT_C109,2,-1)),0)</f>
        <v>2119</v>
      </c>
    </row>
    <row r="52" spans="2:10" ht="12.75" customHeight="1" x14ac:dyDescent="0.2">
      <c r="B52" s="483"/>
      <c r="C52" s="483"/>
      <c r="D52" s="269">
        <f t="shared" ref="D52:J52" si="17">ROUNDDOWN(D51/(1.161*($D$3-$D$4)),0)</f>
        <v>83</v>
      </c>
      <c r="E52" s="269">
        <f t="shared" si="17"/>
        <v>103</v>
      </c>
      <c r="F52" s="269">
        <f t="shared" si="17"/>
        <v>107</v>
      </c>
      <c r="G52" s="269">
        <f t="shared" si="17"/>
        <v>138</v>
      </c>
      <c r="H52" s="269">
        <f t="shared" si="17"/>
        <v>147</v>
      </c>
      <c r="I52" s="269">
        <f t="shared" si="17"/>
        <v>158</v>
      </c>
      <c r="J52" s="270">
        <f t="shared" si="17"/>
        <v>182</v>
      </c>
    </row>
    <row r="53" spans="2:10" ht="12.75" customHeight="1" x14ac:dyDescent="0.2">
      <c r="B53" s="482">
        <v>3750</v>
      </c>
      <c r="C53" s="482"/>
      <c r="D53" s="175">
        <f>ROUND('BASE-C120POWER'!C20*(VLOOKUP(ROUND(((($D$3+$D$4)/2)-$D$5),3),FAKT_C109,2,-1)),0)</f>
        <v>1034</v>
      </c>
      <c r="E53" s="175">
        <f>ROUND('BASE-C120POWER'!D20*(VLOOKUP(ROUND(((($D$3+$D$4)/2)-$D$5),3),FAKT_C109,2,-1)),0)</f>
        <v>1283</v>
      </c>
      <c r="F53" s="175">
        <f>ROUND('BASE-C120POWER'!E20*(VLOOKUP(ROUND(((($D$3+$D$4)/2)-$D$5),3),FAKT_C109,2,-1)),0)</f>
        <v>1323</v>
      </c>
      <c r="G53" s="175">
        <f>ROUND('BASE-C120POWER'!F20*(VLOOKUP(ROUND(((($D$3+$D$4)/2)-$D$5),3),FAKT_C109,2,-1)),0)</f>
        <v>1708</v>
      </c>
      <c r="H53" s="175">
        <f>ROUND('BASE-C120POWER'!G20*(VLOOKUP(ROUND(((($D$3+$D$4)/2)-$D$5),3),FAKT_C109,2,-1)),0)</f>
        <v>1821</v>
      </c>
      <c r="I53" s="175">
        <f>ROUND('BASE-C120POWER'!H20*(VLOOKUP(ROUND(((($D$3+$D$4)/2)-$D$5),3),FAKT_C109,2,-1)),0)</f>
        <v>1961</v>
      </c>
      <c r="J53" s="176">
        <f>ROUND('BASE-C120POWER'!I20*(VLOOKUP(ROUND(((($D$3+$D$4)/2)-$D$5),3),FAKT_C109,2,-1)),0)</f>
        <v>2252</v>
      </c>
    </row>
    <row r="54" spans="2:10" ht="12.75" customHeight="1" x14ac:dyDescent="0.2">
      <c r="B54" s="482"/>
      <c r="C54" s="482"/>
      <c r="D54" s="177">
        <f t="shared" ref="D54:J54" si="18">ROUNDDOWN(D53/(1.161*($D$3-$D$4)),0)</f>
        <v>89</v>
      </c>
      <c r="E54" s="177">
        <f t="shared" si="18"/>
        <v>110</v>
      </c>
      <c r="F54" s="177">
        <f t="shared" si="18"/>
        <v>113</v>
      </c>
      <c r="G54" s="177">
        <f t="shared" si="18"/>
        <v>147</v>
      </c>
      <c r="H54" s="177">
        <f t="shared" si="18"/>
        <v>156</v>
      </c>
      <c r="I54" s="177">
        <f t="shared" si="18"/>
        <v>168</v>
      </c>
      <c r="J54" s="178">
        <f t="shared" si="18"/>
        <v>193</v>
      </c>
    </row>
    <row r="55" spans="2:10" ht="12.75" customHeight="1" x14ac:dyDescent="0.2">
      <c r="B55" s="483">
        <v>3950</v>
      </c>
      <c r="C55" s="483"/>
      <c r="D55" s="267">
        <f>ROUND('BASE-C120POWER'!C21*(VLOOKUP(ROUND(((($D$3+$D$4)/2)-$D$5),3),FAKT_C109,2,-1)),0)</f>
        <v>1095</v>
      </c>
      <c r="E55" s="267">
        <f>ROUND('BASE-C120POWER'!D21*(VLOOKUP(ROUND(((($D$3+$D$4)/2)-$D$5),3),FAKT_C109,2,-1)),0)</f>
        <v>1358</v>
      </c>
      <c r="F55" s="267">
        <f>ROUND('BASE-C120POWER'!E21*(VLOOKUP(ROUND(((($D$3+$D$4)/2)-$D$5),3),FAKT_C109,2,-1)),0)</f>
        <v>1400</v>
      </c>
      <c r="G55" s="267">
        <f>ROUND('BASE-C120POWER'!F21*(VLOOKUP(ROUND(((($D$3+$D$4)/2)-$D$5),3),FAKT_C109,2,-1)),0)</f>
        <v>1808</v>
      </c>
      <c r="H55" s="267">
        <f>ROUND('BASE-C120POWER'!G21*(VLOOKUP(ROUND(((($D$3+$D$4)/2)-$D$5),3),FAKT_C109,2,-1)),0)</f>
        <v>1927</v>
      </c>
      <c r="I55" s="267">
        <f>ROUND('BASE-C120POWER'!H21*(VLOOKUP(ROUND(((($D$3+$D$4)/2)-$D$5),3),FAKT_C109,2,-1)),0)</f>
        <v>2076</v>
      </c>
      <c r="J55" s="268">
        <f>ROUND('BASE-C120POWER'!I21*(VLOOKUP(ROUND(((($D$3+$D$4)/2)-$D$5),3),FAKT_C109,2,-1)),0)</f>
        <v>2384</v>
      </c>
    </row>
    <row r="56" spans="2:10" ht="12.75" customHeight="1" x14ac:dyDescent="0.2">
      <c r="B56" s="483"/>
      <c r="C56" s="483"/>
      <c r="D56" s="269">
        <f t="shared" ref="D56:J56" si="19">ROUNDDOWN(D55/(1.161*($D$3-$D$4)),0)</f>
        <v>94</v>
      </c>
      <c r="E56" s="269">
        <f t="shared" si="19"/>
        <v>116</v>
      </c>
      <c r="F56" s="269">
        <f t="shared" si="19"/>
        <v>120</v>
      </c>
      <c r="G56" s="269">
        <f t="shared" si="19"/>
        <v>155</v>
      </c>
      <c r="H56" s="269">
        <f t="shared" si="19"/>
        <v>165</v>
      </c>
      <c r="I56" s="269">
        <f t="shared" si="19"/>
        <v>178</v>
      </c>
      <c r="J56" s="270">
        <f t="shared" si="19"/>
        <v>205</v>
      </c>
    </row>
    <row r="57" spans="2:10" ht="9" customHeight="1" x14ac:dyDescent="0.2">
      <c r="B57" s="148"/>
      <c r="C57" s="148"/>
      <c r="J57" s="140"/>
    </row>
    <row r="58" spans="2:10" x14ac:dyDescent="0.2">
      <c r="B58" s="141" t="str">
        <f>VLOOKUP(36,TXT,$F$3,0)</f>
        <v>Angabe in Watt  pro Bodenkonvektor-Länge L [mm]</v>
      </c>
      <c r="J58" s="121" t="str">
        <f>VLOOKUP(16,TXT,$F$3,0)</f>
        <v>Wärmeleistungen in Anlehnung an EN 442-2</v>
      </c>
    </row>
    <row r="59" spans="2:10" x14ac:dyDescent="0.2">
      <c r="B59" s="141" t="str">
        <f>VLOOKUP(90,TXT,$F$3,0)</f>
        <v>Leistungsdaten mit Abdeckung, Rollrost Typ 941-17-B (f.Q. 70%)</v>
      </c>
      <c r="J59" s="121"/>
    </row>
    <row r="60" spans="2:10" x14ac:dyDescent="0.2">
      <c r="B60" s="141" t="str">
        <f>CONCATENATE("(*) ",VLOOKUP(29,TXT,$F$3,0))</f>
        <v>(*) Minimale Wassermassenströme von ca. 20 kg/h sollen eingehalten werden</v>
      </c>
      <c r="J60" s="122" t="s">
        <v>1050</v>
      </c>
    </row>
    <row r="61" spans="2:10" x14ac:dyDescent="0.2">
      <c r="B61" s="183"/>
      <c r="C61" s="120"/>
      <c r="E61" s="120"/>
    </row>
    <row r="62" spans="2:10" hidden="1" x14ac:dyDescent="0.2">
      <c r="B62" s="183"/>
      <c r="C62" s="120"/>
      <c r="E62" s="120"/>
    </row>
    <row r="63" spans="2:10" hidden="1" x14ac:dyDescent="0.2">
      <c r="B63" s="183"/>
      <c r="C63" s="120"/>
      <c r="E63" s="120"/>
    </row>
  </sheetData>
  <sheetProtection algorithmName="SHA-512" hashValue="FNyRjpuszJylXVLY9kcz8eZxAr2RY3H1AfK2+nvOj1iDN4milyoHVJ+BjiJOgJlfFKN7b+6KdcSUmVvWbNQB7A==" saltValue="WhLRZOWYuWW2CblxabLvPQ==" spinCount="100000" sheet="1" objects="1" scenarios="1" selectLockedCells="1"/>
  <protectedRanges>
    <protectedRange sqref="F4:F5" name="Bereich1_1_1"/>
  </protectedRanges>
  <mergeCells count="38">
    <mergeCell ref="G16:J16"/>
    <mergeCell ref="B10:C10"/>
    <mergeCell ref="D10:F10"/>
    <mergeCell ref="G10:H10"/>
    <mergeCell ref="I10:J10"/>
    <mergeCell ref="B12:C12"/>
    <mergeCell ref="B13:C13"/>
    <mergeCell ref="B14:C14"/>
    <mergeCell ref="B16:C16"/>
    <mergeCell ref="D16:F16"/>
    <mergeCell ref="B39:C40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53:C54"/>
    <mergeCell ref="B55:C56"/>
    <mergeCell ref="B41:C42"/>
    <mergeCell ref="B43:C44"/>
    <mergeCell ref="B45:C46"/>
    <mergeCell ref="B47:C48"/>
    <mergeCell ref="B49:C50"/>
    <mergeCell ref="B51:C52"/>
    <mergeCell ref="F3:F5"/>
    <mergeCell ref="D2:E2"/>
    <mergeCell ref="B3:C3"/>
    <mergeCell ref="D3:E3"/>
    <mergeCell ref="B4:C4"/>
    <mergeCell ref="D4:E4"/>
    <mergeCell ref="B5:C5"/>
    <mergeCell ref="D5:E5"/>
  </mergeCells>
  <conditionalFormatting sqref="D3:D5">
    <cfRule type="expression" dxfId="170" priority="2">
      <formula>$I$4&lt;&gt;""</formula>
    </cfRule>
    <cfRule type="expression" dxfId="169" priority="3">
      <formula>$K$3&lt;&gt;""</formula>
    </cfRule>
  </conditionalFormatting>
  <conditionalFormatting sqref="D3:E5">
    <cfRule type="expression" dxfId="168" priority="1">
      <formula>$H$4&lt;&gt;""</formula>
    </cfRule>
  </conditionalFormatting>
  <conditionalFormatting sqref="D17:J17">
    <cfRule type="expression" dxfId="167" priority="43" stopIfTrue="1">
      <formula>D18&lt;20</formula>
    </cfRule>
  </conditionalFormatting>
  <conditionalFormatting sqref="D19:J19">
    <cfRule type="expression" dxfId="166" priority="42" stopIfTrue="1">
      <formula>D20&lt;20</formula>
    </cfRule>
  </conditionalFormatting>
  <conditionalFormatting sqref="D21:J21">
    <cfRule type="expression" dxfId="165" priority="32" stopIfTrue="1">
      <formula>D22&lt;20</formula>
    </cfRule>
  </conditionalFormatting>
  <conditionalFormatting sqref="D23:J23">
    <cfRule type="expression" dxfId="164" priority="41" stopIfTrue="1">
      <formula>D24&lt;20</formula>
    </cfRule>
  </conditionalFormatting>
  <conditionalFormatting sqref="D25:J25">
    <cfRule type="expression" dxfId="163" priority="31" stopIfTrue="1">
      <formula>D26&lt;20</formula>
    </cfRule>
  </conditionalFormatting>
  <conditionalFormatting sqref="D27:J27">
    <cfRule type="expression" dxfId="162" priority="40" stopIfTrue="1">
      <formula>D28&lt;20</formula>
    </cfRule>
  </conditionalFormatting>
  <conditionalFormatting sqref="D29:J29">
    <cfRule type="expression" dxfId="161" priority="30" stopIfTrue="1">
      <formula>D30&lt;20</formula>
    </cfRule>
  </conditionalFormatting>
  <conditionalFormatting sqref="D31:J31">
    <cfRule type="expression" dxfId="160" priority="39" stopIfTrue="1">
      <formula>D32&lt;20</formula>
    </cfRule>
  </conditionalFormatting>
  <conditionalFormatting sqref="D33:J33">
    <cfRule type="expression" dxfId="159" priority="29" stopIfTrue="1">
      <formula>D34&lt;20</formula>
    </cfRule>
  </conditionalFormatting>
  <conditionalFormatting sqref="D35:J35">
    <cfRule type="expression" dxfId="158" priority="38" stopIfTrue="1">
      <formula>D36&lt;20</formula>
    </cfRule>
  </conditionalFormatting>
  <conditionalFormatting sqref="D37:J37">
    <cfRule type="expression" dxfId="157" priority="28" stopIfTrue="1">
      <formula>D38&lt;20</formula>
    </cfRule>
  </conditionalFormatting>
  <conditionalFormatting sqref="D39:J39">
    <cfRule type="expression" dxfId="156" priority="37" stopIfTrue="1">
      <formula>D40&lt;20</formula>
    </cfRule>
  </conditionalFormatting>
  <conditionalFormatting sqref="D41:J41">
    <cfRule type="expression" dxfId="155" priority="27" stopIfTrue="1">
      <formula>D42&lt;20</formula>
    </cfRule>
  </conditionalFormatting>
  <conditionalFormatting sqref="D43:J43">
    <cfRule type="expression" dxfId="154" priority="36" stopIfTrue="1">
      <formula>D44&lt;20</formula>
    </cfRule>
  </conditionalFormatting>
  <conditionalFormatting sqref="D45:J45">
    <cfRule type="expression" dxfId="153" priority="26" stopIfTrue="1">
      <formula>D46&lt;20</formula>
    </cfRule>
  </conditionalFormatting>
  <conditionalFormatting sqref="D47:J47">
    <cfRule type="expression" dxfId="152" priority="35" stopIfTrue="1">
      <formula>D48&lt;20</formula>
    </cfRule>
  </conditionalFormatting>
  <conditionalFormatting sqref="D49:J49">
    <cfRule type="expression" dxfId="151" priority="25" stopIfTrue="1">
      <formula>D50&lt;20</formula>
    </cfRule>
  </conditionalFormatting>
  <conditionalFormatting sqref="D51:J51">
    <cfRule type="expression" dxfId="150" priority="34" stopIfTrue="1">
      <formula>D52&lt;20</formula>
    </cfRule>
  </conditionalFormatting>
  <conditionalFormatting sqref="D53:J53">
    <cfRule type="expression" dxfId="149" priority="24" stopIfTrue="1">
      <formula>D54&lt;20</formula>
    </cfRule>
  </conditionalFormatting>
  <conditionalFormatting sqref="D55:J55">
    <cfRule type="expression" dxfId="148" priority="33" stopIfTrue="1">
      <formula>D56&lt;20</formula>
    </cfRule>
  </conditionalFormatting>
  <dataValidations count="4">
    <dataValidation type="whole" allowBlank="1" showInputMessage="1" showErrorMessage="1" sqref="D3:E3" xr:uid="{2FAF8618-9EF6-494A-B827-FBBE126D28A8}">
      <formula1>30</formula1>
      <formula2>90</formula2>
    </dataValidation>
    <dataValidation type="whole" allowBlank="1" showInputMessage="1" showErrorMessage="1" sqref="D4:E4" xr:uid="{7A3C7C62-4516-4D18-AA52-8E9E36D75432}">
      <formula1>25</formula1>
      <formula2>85</formula2>
    </dataValidation>
    <dataValidation type="whole" allowBlank="1" showInputMessage="1" showErrorMessage="1" sqref="D5:E5" xr:uid="{CED7D322-5F8D-4464-BE3A-7A3F7B05DDF5}">
      <formula1>15</formula1>
      <formula2>29</formula2>
    </dataValidation>
    <dataValidation type="whole" allowBlank="1" showInputMessage="1" showErrorMessage="1" sqref="F3:F5" xr:uid="{E0134EEF-0BF9-4986-B0D9-415D0AADEA19}">
      <formula1>2</formula1>
      <formula2>3</formula2>
    </dataValidation>
  </dataValidations>
  <pageMargins left="0.59055118110236227" right="0.39370078740157483" top="1.1811023622047245" bottom="0.78740157480314965" header="0.51181102362204722" footer="0.51181102362204722"/>
  <pageSetup paperSize="9" orientation="portrait" r:id="rId1"/>
  <headerFooter alignWithMargins="0">
    <oddHeader xml:space="preserve">&amp;C&amp;11&amp;G
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3" id="{337F6E68-B90F-4020-8075-53E0FCFE009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D18:J18</xm:sqref>
        </x14:conditionalFormatting>
        <x14:conditionalFormatting xmlns:xm="http://schemas.microsoft.com/office/excel/2006/main">
          <x14:cfRule type="iconSet" priority="22" id="{4B53FCC1-7817-4EA7-B2AD-99CE113B5E7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D20:J20</xm:sqref>
        </x14:conditionalFormatting>
        <x14:conditionalFormatting xmlns:xm="http://schemas.microsoft.com/office/excel/2006/main">
          <x14:cfRule type="iconSet" priority="12" id="{82D3BDA5-7F1E-4388-ACAB-AC205E322E1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D22:J22</xm:sqref>
        </x14:conditionalFormatting>
        <x14:conditionalFormatting xmlns:xm="http://schemas.microsoft.com/office/excel/2006/main">
          <x14:cfRule type="iconSet" priority="21" id="{0E17F95B-9A1C-4FC6-91F5-41E04576987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D24:J24</xm:sqref>
        </x14:conditionalFormatting>
        <x14:conditionalFormatting xmlns:xm="http://schemas.microsoft.com/office/excel/2006/main">
          <x14:cfRule type="iconSet" priority="11" id="{5F8B8493-685D-41E2-8236-F13769BFB83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D26:J26</xm:sqref>
        </x14:conditionalFormatting>
        <x14:conditionalFormatting xmlns:xm="http://schemas.microsoft.com/office/excel/2006/main">
          <x14:cfRule type="iconSet" priority="20" id="{EFBE9E06-8ECA-4018-8AF7-3789EB0F00B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D28:J28</xm:sqref>
        </x14:conditionalFormatting>
        <x14:conditionalFormatting xmlns:xm="http://schemas.microsoft.com/office/excel/2006/main">
          <x14:cfRule type="iconSet" priority="10" id="{646D0FCD-5CDB-4521-A93D-438ACC768BB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D30:J30</xm:sqref>
        </x14:conditionalFormatting>
        <x14:conditionalFormatting xmlns:xm="http://schemas.microsoft.com/office/excel/2006/main">
          <x14:cfRule type="iconSet" priority="19" id="{5614B80A-2E37-405E-9187-6F61F4EC201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D32:J32</xm:sqref>
        </x14:conditionalFormatting>
        <x14:conditionalFormatting xmlns:xm="http://schemas.microsoft.com/office/excel/2006/main">
          <x14:cfRule type="iconSet" priority="9" id="{7E282905-B393-4CBB-AAA6-BB277D21432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D34:J34</xm:sqref>
        </x14:conditionalFormatting>
        <x14:conditionalFormatting xmlns:xm="http://schemas.microsoft.com/office/excel/2006/main">
          <x14:cfRule type="iconSet" priority="18" id="{2F0E19F2-1803-47BC-A723-68CA1592F83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D36:J36</xm:sqref>
        </x14:conditionalFormatting>
        <x14:conditionalFormatting xmlns:xm="http://schemas.microsoft.com/office/excel/2006/main">
          <x14:cfRule type="iconSet" priority="8" id="{6858FBC5-1AEB-4856-B239-7887553D355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D38:J38</xm:sqref>
        </x14:conditionalFormatting>
        <x14:conditionalFormatting xmlns:xm="http://schemas.microsoft.com/office/excel/2006/main">
          <x14:cfRule type="iconSet" priority="17" id="{66BAC609-B3D9-43FC-9A0F-91A8C9F10A1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D40:J40</xm:sqref>
        </x14:conditionalFormatting>
        <x14:conditionalFormatting xmlns:xm="http://schemas.microsoft.com/office/excel/2006/main">
          <x14:cfRule type="iconSet" priority="7" id="{A8E19CD9-C431-4C82-9A7A-564702578AF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D42:J42</xm:sqref>
        </x14:conditionalFormatting>
        <x14:conditionalFormatting xmlns:xm="http://schemas.microsoft.com/office/excel/2006/main">
          <x14:cfRule type="iconSet" priority="16" id="{9C53B03C-066A-494A-8F27-31FE37D4552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D44:J44</xm:sqref>
        </x14:conditionalFormatting>
        <x14:conditionalFormatting xmlns:xm="http://schemas.microsoft.com/office/excel/2006/main">
          <x14:cfRule type="iconSet" priority="6" id="{B25B86FD-B870-423C-A059-19A8301445F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D46:J46</xm:sqref>
        </x14:conditionalFormatting>
        <x14:conditionalFormatting xmlns:xm="http://schemas.microsoft.com/office/excel/2006/main">
          <x14:cfRule type="iconSet" priority="15" id="{69E3F8A2-77DE-45A7-B32D-4FCEE9ACF4B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D48:J48</xm:sqref>
        </x14:conditionalFormatting>
        <x14:conditionalFormatting xmlns:xm="http://schemas.microsoft.com/office/excel/2006/main">
          <x14:cfRule type="iconSet" priority="5" id="{9B56F565-4161-40E7-9E2C-4D261BC717D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D50:J50</xm:sqref>
        </x14:conditionalFormatting>
        <x14:conditionalFormatting xmlns:xm="http://schemas.microsoft.com/office/excel/2006/main">
          <x14:cfRule type="iconSet" priority="14" id="{B4A104D1-9F9A-486E-9AEF-FA3075484C6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D52:J52</xm:sqref>
        </x14:conditionalFormatting>
        <x14:conditionalFormatting xmlns:xm="http://schemas.microsoft.com/office/excel/2006/main">
          <x14:cfRule type="iconSet" priority="4" id="{5193BACF-41F0-4591-A6AD-3944D0F9B88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D54:J54</xm:sqref>
        </x14:conditionalFormatting>
        <x14:conditionalFormatting xmlns:xm="http://schemas.microsoft.com/office/excel/2006/main">
          <x14:cfRule type="iconSet" priority="13" id="{5E849657-1593-48E0-A4D3-69E7392947C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D56:J56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AECDB-1ACB-4DEC-8A7A-C750CC714DC9}">
  <dimension ref="A1:L63"/>
  <sheetViews>
    <sheetView showGridLines="0" showRowColHeaders="0" workbookViewId="0">
      <selection activeCell="G3" sqref="G3:H3"/>
    </sheetView>
  </sheetViews>
  <sheetFormatPr baseColWidth="10" defaultColWidth="0" defaultRowHeight="12.75" zeroHeight="1" x14ac:dyDescent="0.2"/>
  <cols>
    <col min="1" max="1" width="2.7109375" style="101" customWidth="1"/>
    <col min="2" max="2" width="3.7109375" style="101" customWidth="1"/>
    <col min="3" max="3" width="6.7109375" style="140" customWidth="1"/>
    <col min="4" max="10" width="10.28515625" style="140" customWidth="1"/>
    <col min="11" max="11" width="10.28515625" style="101" customWidth="1"/>
    <col min="12" max="12" width="2.7109375" style="101" customWidth="1"/>
    <col min="13" max="16384" width="11.42578125" style="101" hidden="1"/>
  </cols>
  <sheetData>
    <row r="1" spans="2:12" x14ac:dyDescent="0.2"/>
    <row r="2" spans="2:12" ht="15" x14ac:dyDescent="0.25">
      <c r="B2"/>
      <c r="C2" s="101"/>
      <c r="D2" s="481" t="s">
        <v>936</v>
      </c>
      <c r="E2" s="481"/>
      <c r="F2" s="283" t="s">
        <v>938</v>
      </c>
    </row>
    <row r="3" spans="2:12" ht="23.25" x14ac:dyDescent="0.35">
      <c r="B3" s="453" t="s">
        <v>933</v>
      </c>
      <c r="C3" s="453"/>
      <c r="D3" s="480">
        <v>75</v>
      </c>
      <c r="E3" s="480"/>
      <c r="F3" s="432">
        <v>2</v>
      </c>
    </row>
    <row r="4" spans="2:12" ht="23.25" x14ac:dyDescent="0.35">
      <c r="B4" s="453" t="s">
        <v>934</v>
      </c>
      <c r="C4" s="453"/>
      <c r="D4" s="480">
        <v>65</v>
      </c>
      <c r="E4" s="480"/>
      <c r="F4" s="432"/>
      <c r="H4" s="287" t="str">
        <f>IF(OR((D3-D4)&lt;3,(D4-D5)&lt;3,(D3-D4)&gt;25,D5&lt;15,ISERROR(D17)),"Bitte überprüfen Sie ihre Eingaben!","")</f>
        <v/>
      </c>
    </row>
    <row r="5" spans="2:12" ht="23.25" x14ac:dyDescent="0.35">
      <c r="B5" s="453" t="s">
        <v>935</v>
      </c>
      <c r="C5" s="453"/>
      <c r="D5" s="480">
        <v>20</v>
      </c>
      <c r="E5" s="480"/>
      <c r="F5" s="432"/>
    </row>
    <row r="6" spans="2:12" x14ac:dyDescent="0.2"/>
    <row r="7" spans="2:12" ht="25.5" customHeight="1" x14ac:dyDescent="0.4">
      <c r="B7" s="271" t="str">
        <f>VLOOKUP(62,TXT,$F$3,0)</f>
        <v>Bodenkonvektor Modell LIB-150  POWER+</v>
      </c>
      <c r="C7" s="272"/>
      <c r="D7" s="272"/>
      <c r="E7" s="272"/>
      <c r="F7" s="272"/>
      <c r="G7" s="272"/>
      <c r="H7" s="272"/>
      <c r="I7" s="272"/>
      <c r="J7" s="272"/>
      <c r="K7" s="272"/>
      <c r="L7" s="170"/>
    </row>
    <row r="8" spans="2:12" ht="17.25" customHeight="1" x14ac:dyDescent="0.4">
      <c r="B8" s="273" t="str">
        <f>VLOOKUP(47,TXT,$F$3,0)</f>
        <v>für freie Konvektion</v>
      </c>
      <c r="C8" s="273"/>
      <c r="D8" s="273"/>
      <c r="E8" s="273"/>
      <c r="F8" s="273"/>
      <c r="G8" s="273"/>
      <c r="H8" s="273"/>
      <c r="I8" s="273"/>
      <c r="J8" s="273"/>
      <c r="K8" s="273"/>
      <c r="L8" s="170"/>
    </row>
    <row r="9" spans="2:12" x14ac:dyDescent="0.2"/>
    <row r="10" spans="2:12" ht="23.25" x14ac:dyDescent="0.2">
      <c r="B10" s="487" t="str">
        <f>VLOOKUP(10,TXT,$F$3,0)</f>
        <v>Heizmedium</v>
      </c>
      <c r="C10" s="487"/>
      <c r="D10" s="487"/>
      <c r="E10" s="488" t="str">
        <f>CONCATENATE(D3,"° / ",D4," °C")</f>
        <v>75° / 65 °C</v>
      </c>
      <c r="F10" s="488"/>
      <c r="G10" s="488"/>
      <c r="H10" s="489">
        <f>SUM(D5)</f>
        <v>20</v>
      </c>
      <c r="I10" s="489"/>
      <c r="J10" s="490"/>
      <c r="K10" s="490"/>
    </row>
    <row r="11" spans="2:12" x14ac:dyDescent="0.2"/>
    <row r="12" spans="2:12" ht="17.25" customHeight="1" x14ac:dyDescent="0.25">
      <c r="B12" s="491" t="str">
        <f>VLOOKUP(9,TXT,$F$3,0)</f>
        <v>Modell</v>
      </c>
      <c r="C12" s="491"/>
      <c r="D12" s="264" t="s">
        <v>1397</v>
      </c>
      <c r="E12" s="264" t="s">
        <v>1387</v>
      </c>
      <c r="F12" s="264" t="s">
        <v>1388</v>
      </c>
      <c r="G12" s="264" t="s">
        <v>1389</v>
      </c>
      <c r="H12" s="264" t="s">
        <v>1390</v>
      </c>
      <c r="I12" s="264" t="s">
        <v>1391</v>
      </c>
      <c r="J12" s="264" t="s">
        <v>1392</v>
      </c>
      <c r="K12" s="264" t="s">
        <v>1393</v>
      </c>
    </row>
    <row r="13" spans="2:12" x14ac:dyDescent="0.2">
      <c r="B13" s="492" t="s">
        <v>1351</v>
      </c>
      <c r="C13" s="492"/>
      <c r="D13" s="274">
        <v>144</v>
      </c>
      <c r="E13" s="274">
        <v>176</v>
      </c>
      <c r="F13" s="274">
        <v>224</v>
      </c>
      <c r="G13" s="274">
        <v>240</v>
      </c>
      <c r="H13" s="274">
        <v>272</v>
      </c>
      <c r="I13" s="274">
        <v>304</v>
      </c>
      <c r="J13" s="274">
        <v>336</v>
      </c>
      <c r="K13" s="274">
        <v>368</v>
      </c>
    </row>
    <row r="14" spans="2:12" x14ac:dyDescent="0.2">
      <c r="B14" s="492" t="s">
        <v>1352</v>
      </c>
      <c r="C14" s="492"/>
      <c r="D14" s="274">
        <v>150</v>
      </c>
      <c r="E14" s="274">
        <v>150</v>
      </c>
      <c r="F14" s="274">
        <v>150</v>
      </c>
      <c r="G14" s="274">
        <v>150</v>
      </c>
      <c r="H14" s="274">
        <v>150</v>
      </c>
      <c r="I14" s="274">
        <v>150</v>
      </c>
      <c r="J14" s="274">
        <v>150</v>
      </c>
      <c r="K14" s="274">
        <v>150</v>
      </c>
    </row>
    <row r="15" spans="2:12" x14ac:dyDescent="0.2">
      <c r="B15" s="266"/>
      <c r="C15" s="266"/>
      <c r="D15" s="274" t="s">
        <v>1398</v>
      </c>
      <c r="E15" s="274" t="s">
        <v>1398</v>
      </c>
      <c r="F15" s="274" t="s">
        <v>1399</v>
      </c>
      <c r="G15" s="274" t="s">
        <v>1399</v>
      </c>
      <c r="H15" s="274" t="s">
        <v>1400</v>
      </c>
      <c r="I15" s="274" t="s">
        <v>1400</v>
      </c>
      <c r="J15" s="274" t="s">
        <v>1401</v>
      </c>
      <c r="K15" s="274" t="s">
        <v>1401</v>
      </c>
    </row>
    <row r="16" spans="2:12" ht="18.75" customHeight="1" x14ac:dyDescent="0.2">
      <c r="B16" s="492" t="s">
        <v>1356</v>
      </c>
      <c r="C16" s="492"/>
      <c r="D16" s="493" t="str">
        <f>VLOOKUP(13,TXT,$F$3,0)</f>
        <v>Leistungen [W]</v>
      </c>
      <c r="E16" s="485"/>
      <c r="F16" s="485"/>
      <c r="G16" s="485"/>
      <c r="H16" s="485" t="str">
        <f>VLOOKUP(45,TXT,$F$3,0)</f>
        <v>Wassermassenstrom [kg/h] *</v>
      </c>
      <c r="I16" s="485"/>
      <c r="J16" s="485"/>
      <c r="K16" s="486"/>
    </row>
    <row r="17" spans="2:11" ht="12.75" customHeight="1" x14ac:dyDescent="0.2">
      <c r="B17" s="484">
        <v>750</v>
      </c>
      <c r="C17" s="484"/>
      <c r="D17" s="188">
        <f>ROUND('BASE-C150POWER'!B2*(VLOOKUP(ROUND(((($D$3+$D$4)/2)-$D$5),3),FAKT_C109,2,-1)),0)</f>
        <v>96</v>
      </c>
      <c r="E17" s="175">
        <f>ROUND('BASE-C150POWER'!C2*(VLOOKUP(ROUND(((($D$3+$D$4)/2)-$D$5),3),FAKT_C109,2,-1)),0)</f>
        <v>116</v>
      </c>
      <c r="F17" s="175">
        <f>ROUND('BASE-C150POWER'!D2*(VLOOKUP(ROUND(((($D$3+$D$4)/2)-$D$5),3),FAKT_C109,2,-1)),0)</f>
        <v>234</v>
      </c>
      <c r="G17" s="175">
        <f>ROUND('BASE-C150POWER'!E2*(VLOOKUP(ROUND(((($D$3+$D$4)/2)-$D$5),3),FAKT_C109,2,-1)),0)</f>
        <v>241</v>
      </c>
      <c r="H17" s="175">
        <f>ROUND('BASE-C150POWER'!F2*(VLOOKUP(ROUND(((($D$3+$D$4)/2)-$D$5),3),FAKT_C109,2,-1)),0)</f>
        <v>282</v>
      </c>
      <c r="I17" s="175">
        <f>ROUND('BASE-C150POWER'!G2*(VLOOKUP(ROUND(((($D$3+$D$4)/2)-$D$5),3),FAKT_C109,2,-1)),0)</f>
        <v>301</v>
      </c>
      <c r="J17" s="175">
        <f>ROUND('BASE-C150POWER'!H2*(VLOOKUP(ROUND(((($D$3+$D$4)/2)-$D$5),3),FAKT_C109,2,-1)),0)</f>
        <v>310</v>
      </c>
      <c r="K17" s="176">
        <f>ROUND('BASE-C150POWER'!I2*(VLOOKUP(ROUND(((($D$3+$D$4)/2)-$D$5),3),FAKT_C109,2,-1)),0)</f>
        <v>356</v>
      </c>
    </row>
    <row r="18" spans="2:11" ht="12.75" customHeight="1" x14ac:dyDescent="0.2">
      <c r="B18" s="484"/>
      <c r="C18" s="484"/>
      <c r="D18" s="189">
        <f t="shared" ref="D18:K18" si="0">ROUNDDOWN(D17/(1.161*($D$3-$D$4)),0)</f>
        <v>8</v>
      </c>
      <c r="E18" s="177">
        <f t="shared" si="0"/>
        <v>9</v>
      </c>
      <c r="F18" s="177">
        <f t="shared" si="0"/>
        <v>20</v>
      </c>
      <c r="G18" s="177">
        <f t="shared" si="0"/>
        <v>20</v>
      </c>
      <c r="H18" s="177">
        <f t="shared" si="0"/>
        <v>24</v>
      </c>
      <c r="I18" s="177">
        <f t="shared" si="0"/>
        <v>25</v>
      </c>
      <c r="J18" s="177">
        <f t="shared" si="0"/>
        <v>26</v>
      </c>
      <c r="K18" s="178">
        <f t="shared" si="0"/>
        <v>30</v>
      </c>
    </row>
    <row r="19" spans="2:11" ht="12.75" customHeight="1" x14ac:dyDescent="0.2">
      <c r="B19" s="483">
        <v>850</v>
      </c>
      <c r="C19" s="483">
        <v>1000</v>
      </c>
      <c r="D19" s="275">
        <f>ROUND('BASE-C150POWER'!B3*(VLOOKUP(ROUND(((($D$3+$D$4)/2)-$D$5),3),FAKT_C109,2,-1)),0)</f>
        <v>120</v>
      </c>
      <c r="E19" s="267">
        <f>ROUND('BASE-C150POWER'!C3*(VLOOKUP(ROUND(((($D$3+$D$4)/2)-$D$5),3),FAKT_C109,2,-1)),0)</f>
        <v>145</v>
      </c>
      <c r="F19" s="267">
        <f>ROUND('BASE-C150POWER'!D3*(VLOOKUP(ROUND(((($D$3+$D$4)/2)-$D$5),3),FAKT_C109,2,-1)),0)</f>
        <v>293</v>
      </c>
      <c r="G19" s="267">
        <f>ROUND('BASE-C150POWER'!E3*(VLOOKUP(ROUND(((($D$3+$D$4)/2)-$D$5),3),FAKT_C109,2,-1)),0)</f>
        <v>302</v>
      </c>
      <c r="H19" s="267">
        <f>ROUND('BASE-C150POWER'!F3*(VLOOKUP(ROUND(((($D$3+$D$4)/2)-$D$5),3),FAKT_C109,2,-1)),0)</f>
        <v>352</v>
      </c>
      <c r="I19" s="267">
        <f>ROUND('BASE-C150POWER'!G3*(VLOOKUP(ROUND(((($D$3+$D$4)/2)-$D$5),3),FAKT_C109,2,-1)),0)</f>
        <v>375</v>
      </c>
      <c r="J19" s="267">
        <f>ROUND('BASE-C150POWER'!H3*(VLOOKUP(ROUND(((($D$3+$D$4)/2)-$D$5),3),FAKT_C109,2,-1)),0)</f>
        <v>388</v>
      </c>
      <c r="K19" s="268">
        <f>ROUND('BASE-C150POWER'!I3*(VLOOKUP(ROUND(((($D$3+$D$4)/2)-$D$5),3),FAKT_C109,2,-1)),0)</f>
        <v>445</v>
      </c>
    </row>
    <row r="20" spans="2:11" ht="12.75" customHeight="1" x14ac:dyDescent="0.2">
      <c r="B20" s="483"/>
      <c r="C20" s="483"/>
      <c r="D20" s="276">
        <f t="shared" ref="D20:K20" si="1">ROUNDDOWN(D19/(1.161*($D$3-$D$4)),0)</f>
        <v>10</v>
      </c>
      <c r="E20" s="269">
        <f t="shared" si="1"/>
        <v>12</v>
      </c>
      <c r="F20" s="269">
        <f t="shared" si="1"/>
        <v>25</v>
      </c>
      <c r="G20" s="269">
        <f t="shared" si="1"/>
        <v>26</v>
      </c>
      <c r="H20" s="269">
        <f t="shared" si="1"/>
        <v>30</v>
      </c>
      <c r="I20" s="269">
        <f t="shared" si="1"/>
        <v>32</v>
      </c>
      <c r="J20" s="269">
        <f t="shared" si="1"/>
        <v>33</v>
      </c>
      <c r="K20" s="270">
        <f t="shared" si="1"/>
        <v>38</v>
      </c>
    </row>
    <row r="21" spans="2:11" ht="12.75" customHeight="1" x14ac:dyDescent="0.2">
      <c r="B21" s="482">
        <v>950</v>
      </c>
      <c r="C21" s="482"/>
      <c r="D21" s="188">
        <f>ROUND('BASE-C150POWER'!B4*(VLOOKUP(ROUND(((($D$3+$D$4)/2)-$D$5),3),FAKT_C109,2,-1)),0)</f>
        <v>143</v>
      </c>
      <c r="E21" s="175">
        <f>ROUND('BASE-C150POWER'!C4*(VLOOKUP(ROUND(((($D$3+$D$4)/2)-$D$5),3),FAKT_C109,2,-1)),0)</f>
        <v>174</v>
      </c>
      <c r="F21" s="175">
        <f>ROUND('BASE-C150POWER'!D4*(VLOOKUP(ROUND(((($D$3+$D$4)/2)-$D$5),3),FAKT_C109,2,-1)),0)</f>
        <v>351</v>
      </c>
      <c r="G21" s="175">
        <f>ROUND('BASE-C150POWER'!E4*(VLOOKUP(ROUND(((($D$3+$D$4)/2)-$D$5),3),FAKT_C109,2,-1)),0)</f>
        <v>362</v>
      </c>
      <c r="H21" s="175">
        <f>ROUND('BASE-C150POWER'!F4*(VLOOKUP(ROUND(((($D$3+$D$4)/2)-$D$5),3),FAKT_C109,2,-1)),0)</f>
        <v>422</v>
      </c>
      <c r="I21" s="175">
        <f>ROUND('BASE-C150POWER'!G4*(VLOOKUP(ROUND(((($D$3+$D$4)/2)-$D$5),3),FAKT_C109,2,-1)),0)</f>
        <v>450</v>
      </c>
      <c r="J21" s="175">
        <f>ROUND('BASE-C150POWER'!H4*(VLOOKUP(ROUND(((($D$3+$D$4)/2)-$D$5),3),FAKT_C109,2,-1)),0)</f>
        <v>466</v>
      </c>
      <c r="K21" s="176">
        <f>ROUND('BASE-C150POWER'!I4*(VLOOKUP(ROUND(((($D$3+$D$4)/2)-$D$5),3),FAKT_C109,2,-1)),0)</f>
        <v>535</v>
      </c>
    </row>
    <row r="22" spans="2:11" ht="12.75" customHeight="1" x14ac:dyDescent="0.2">
      <c r="B22" s="482"/>
      <c r="C22" s="482"/>
      <c r="D22" s="189">
        <f t="shared" ref="D22:K22" si="2">ROUNDDOWN(D21/(1.161*($D$3-$D$4)),0)</f>
        <v>12</v>
      </c>
      <c r="E22" s="177">
        <f t="shared" si="2"/>
        <v>14</v>
      </c>
      <c r="F22" s="177">
        <f t="shared" si="2"/>
        <v>30</v>
      </c>
      <c r="G22" s="177">
        <f t="shared" si="2"/>
        <v>31</v>
      </c>
      <c r="H22" s="177">
        <f t="shared" si="2"/>
        <v>36</v>
      </c>
      <c r="I22" s="177">
        <f t="shared" si="2"/>
        <v>38</v>
      </c>
      <c r="J22" s="177">
        <f t="shared" si="2"/>
        <v>40</v>
      </c>
      <c r="K22" s="178">
        <f t="shared" si="2"/>
        <v>46</v>
      </c>
    </row>
    <row r="23" spans="2:11" ht="12.75" customHeight="1" x14ac:dyDescent="0.2">
      <c r="B23" s="483">
        <v>1050</v>
      </c>
      <c r="C23" s="483"/>
      <c r="D23" s="275">
        <f>ROUND('BASE-C150POWER'!B5*(VLOOKUP(ROUND(((($D$3+$D$4)/2)-$D$5),3),FAKT_C109,2,-1)),0)</f>
        <v>167</v>
      </c>
      <c r="E23" s="267">
        <f>ROUND('BASE-C150POWER'!C5*(VLOOKUP(ROUND(((($D$3+$D$4)/2)-$D$5),3),FAKT_C109,2,-1)),0)</f>
        <v>202</v>
      </c>
      <c r="F23" s="267">
        <f>ROUND('BASE-C150POWER'!D5*(VLOOKUP(ROUND(((($D$3+$D$4)/2)-$D$5),3),FAKT_C109,2,-1)),0)</f>
        <v>409</v>
      </c>
      <c r="G23" s="267">
        <f>ROUND('BASE-C150POWER'!E5*(VLOOKUP(ROUND(((($D$3+$D$4)/2)-$D$5),3),FAKT_C109,2,-1)),0)</f>
        <v>422</v>
      </c>
      <c r="H23" s="267">
        <f>ROUND('BASE-C150POWER'!F5*(VLOOKUP(ROUND(((($D$3+$D$4)/2)-$D$5),3),FAKT_C109,2,-1)),0)</f>
        <v>493</v>
      </c>
      <c r="I23" s="267">
        <f>ROUND('BASE-C150POWER'!G5*(VLOOKUP(ROUND(((($D$3+$D$4)/2)-$D$5),3),FAKT_C109,2,-1)),0)</f>
        <v>526</v>
      </c>
      <c r="J23" s="267">
        <f>ROUND('BASE-C150POWER'!H5*(VLOOKUP(ROUND(((($D$3+$D$4)/2)-$D$5),3),FAKT_C109,2,-1)),0)</f>
        <v>544</v>
      </c>
      <c r="K23" s="268">
        <f>ROUND('BASE-C150POWER'!I5*(VLOOKUP(ROUND(((($D$3+$D$4)/2)-$D$5),3),FAKT_C109,2,-1)),0)</f>
        <v>624</v>
      </c>
    </row>
    <row r="24" spans="2:11" ht="12.75" customHeight="1" x14ac:dyDescent="0.2">
      <c r="B24" s="483"/>
      <c r="C24" s="483"/>
      <c r="D24" s="276">
        <f t="shared" ref="D24:K24" si="3">ROUNDDOWN(D23/(1.161*($D$3-$D$4)),0)</f>
        <v>14</v>
      </c>
      <c r="E24" s="269">
        <f t="shared" si="3"/>
        <v>17</v>
      </c>
      <c r="F24" s="269">
        <f t="shared" si="3"/>
        <v>35</v>
      </c>
      <c r="G24" s="269">
        <f t="shared" si="3"/>
        <v>36</v>
      </c>
      <c r="H24" s="269">
        <f t="shared" si="3"/>
        <v>42</v>
      </c>
      <c r="I24" s="269">
        <f t="shared" si="3"/>
        <v>45</v>
      </c>
      <c r="J24" s="269">
        <f t="shared" si="3"/>
        <v>46</v>
      </c>
      <c r="K24" s="270">
        <f t="shared" si="3"/>
        <v>53</v>
      </c>
    </row>
    <row r="25" spans="2:11" ht="12.75" customHeight="1" x14ac:dyDescent="0.2">
      <c r="B25" s="482">
        <v>1150</v>
      </c>
      <c r="C25" s="482"/>
      <c r="D25" s="188">
        <f>ROUND('BASE-C150POWER'!B6*(VLOOKUP(ROUND(((($D$3+$D$4)/2)-$D$5),3),FAKT_C109,2,-1)),0)</f>
        <v>192</v>
      </c>
      <c r="E25" s="175">
        <f>ROUND('BASE-C150POWER'!C6*(VLOOKUP(ROUND(((($D$3+$D$4)/2)-$D$5),3),FAKT_C109,2,-1)),0)</f>
        <v>232</v>
      </c>
      <c r="F25" s="175">
        <f>ROUND('BASE-C150POWER'!D6*(VLOOKUP(ROUND(((($D$3+$D$4)/2)-$D$5),3),FAKT_C109,2,-1)),0)</f>
        <v>467</v>
      </c>
      <c r="G25" s="175">
        <f>ROUND('BASE-C150POWER'!E6*(VLOOKUP(ROUND(((($D$3+$D$4)/2)-$D$5),3),FAKT_C109,2,-1)),0)</f>
        <v>482</v>
      </c>
      <c r="H25" s="175">
        <f>ROUND('BASE-C150POWER'!F6*(VLOOKUP(ROUND(((($D$3+$D$4)/2)-$D$5),3),FAKT_C109,2,-1)),0)</f>
        <v>563</v>
      </c>
      <c r="I25" s="175">
        <f>ROUND('BASE-C150POWER'!G6*(VLOOKUP(ROUND(((($D$3+$D$4)/2)-$D$5),3),FAKT_C109,2,-1)),0)</f>
        <v>600</v>
      </c>
      <c r="J25" s="175">
        <f>ROUND('BASE-C150POWER'!H6*(VLOOKUP(ROUND(((($D$3+$D$4)/2)-$D$5),3),FAKT_C109,2,-1)),0)</f>
        <v>620</v>
      </c>
      <c r="K25" s="176">
        <f>ROUND('BASE-C150POWER'!I6*(VLOOKUP(ROUND(((($D$3+$D$4)/2)-$D$5),3),FAKT_C109,2,-1)),0)</f>
        <v>712</v>
      </c>
    </row>
    <row r="26" spans="2:11" ht="12.75" customHeight="1" x14ac:dyDescent="0.2">
      <c r="B26" s="482"/>
      <c r="C26" s="482"/>
      <c r="D26" s="189">
        <f t="shared" ref="D26:K26" si="4">ROUNDDOWN(D25/(1.161*($D$3-$D$4)),0)</f>
        <v>16</v>
      </c>
      <c r="E26" s="177">
        <f t="shared" si="4"/>
        <v>19</v>
      </c>
      <c r="F26" s="177">
        <f t="shared" si="4"/>
        <v>40</v>
      </c>
      <c r="G26" s="177">
        <f t="shared" si="4"/>
        <v>41</v>
      </c>
      <c r="H26" s="177">
        <f t="shared" si="4"/>
        <v>48</v>
      </c>
      <c r="I26" s="177">
        <f t="shared" si="4"/>
        <v>51</v>
      </c>
      <c r="J26" s="177">
        <f t="shared" si="4"/>
        <v>53</v>
      </c>
      <c r="K26" s="178">
        <f t="shared" si="4"/>
        <v>61</v>
      </c>
    </row>
    <row r="27" spans="2:11" ht="12.75" customHeight="1" x14ac:dyDescent="0.2">
      <c r="B27" s="483">
        <v>1250</v>
      </c>
      <c r="C27" s="483"/>
      <c r="D27" s="275">
        <f>ROUND('BASE-C150POWER'!B7*(VLOOKUP(ROUND(((($D$3+$D$4)/2)-$D$5),3),FAKT_C109,2,-1)),0)</f>
        <v>216</v>
      </c>
      <c r="E27" s="267">
        <f>ROUND('BASE-C150POWER'!C7*(VLOOKUP(ROUND(((($D$3+$D$4)/2)-$D$5),3),FAKT_C109,2,-1)),0)</f>
        <v>261</v>
      </c>
      <c r="F27" s="267">
        <f>ROUND('BASE-C150POWER'!D7*(VLOOKUP(ROUND(((($D$3+$D$4)/2)-$D$5),3),FAKT_C109,2,-1)),0)</f>
        <v>526</v>
      </c>
      <c r="G27" s="267">
        <f>ROUND('BASE-C150POWER'!E7*(VLOOKUP(ROUND(((($D$3+$D$4)/2)-$D$5),3),FAKT_C109,2,-1)),0)</f>
        <v>543</v>
      </c>
      <c r="H27" s="267">
        <f>ROUND('BASE-C150POWER'!F7*(VLOOKUP(ROUND(((($D$3+$D$4)/2)-$D$5),3),FAKT_C109,2,-1)),0)</f>
        <v>634</v>
      </c>
      <c r="I27" s="267">
        <f>ROUND('BASE-C150POWER'!G7*(VLOOKUP(ROUND(((($D$3+$D$4)/2)-$D$5),3),FAKT_C109,2,-1)),0)</f>
        <v>676</v>
      </c>
      <c r="J27" s="267">
        <f>ROUND('BASE-C150POWER'!H7*(VLOOKUP(ROUND(((($D$3+$D$4)/2)-$D$5),3),FAKT_C109,2,-1)),0)</f>
        <v>698</v>
      </c>
      <c r="K27" s="268">
        <f>ROUND('BASE-C150POWER'!I7*(VLOOKUP(ROUND(((($D$3+$D$4)/2)-$D$5),3),FAKT_C109,2,-1)),0)</f>
        <v>802</v>
      </c>
    </row>
    <row r="28" spans="2:11" ht="12.75" customHeight="1" x14ac:dyDescent="0.2">
      <c r="B28" s="483"/>
      <c r="C28" s="483"/>
      <c r="D28" s="276">
        <f t="shared" ref="D28:K28" si="5">ROUNDDOWN(D27/(1.161*($D$3-$D$4)),0)</f>
        <v>18</v>
      </c>
      <c r="E28" s="269">
        <f t="shared" si="5"/>
        <v>22</v>
      </c>
      <c r="F28" s="269">
        <f t="shared" si="5"/>
        <v>45</v>
      </c>
      <c r="G28" s="269">
        <f t="shared" si="5"/>
        <v>46</v>
      </c>
      <c r="H28" s="269">
        <f t="shared" si="5"/>
        <v>54</v>
      </c>
      <c r="I28" s="269">
        <f t="shared" si="5"/>
        <v>58</v>
      </c>
      <c r="J28" s="269">
        <f t="shared" si="5"/>
        <v>60</v>
      </c>
      <c r="K28" s="270">
        <f t="shared" si="5"/>
        <v>69</v>
      </c>
    </row>
    <row r="29" spans="2:11" ht="12.75" customHeight="1" x14ac:dyDescent="0.2">
      <c r="B29" s="482">
        <v>1350</v>
      </c>
      <c r="C29" s="482"/>
      <c r="D29" s="188">
        <f>ROUND('BASE-C150POWER'!B8*(VLOOKUP(ROUND(((($D$3+$D$4)/2)-$D$5),3),FAKT_C109,2,-1)),0)</f>
        <v>239</v>
      </c>
      <c r="E29" s="175">
        <f>ROUND('BASE-C150POWER'!C8*(VLOOKUP(ROUND(((($D$3+$D$4)/2)-$D$5),3),FAKT_C109,2,-1)),0)</f>
        <v>290</v>
      </c>
      <c r="F29" s="175">
        <f>ROUND('BASE-C150POWER'!D8*(VLOOKUP(ROUND(((($D$3+$D$4)/2)-$D$5),3),FAKT_C109,2,-1)),0)</f>
        <v>584</v>
      </c>
      <c r="G29" s="175">
        <f>ROUND('BASE-C150POWER'!E8*(VLOOKUP(ROUND(((($D$3+$D$4)/2)-$D$5),3),FAKT_C109,2,-1)),0)</f>
        <v>603</v>
      </c>
      <c r="H29" s="175">
        <f>ROUND('BASE-C150POWER'!F8*(VLOOKUP(ROUND(((($D$3+$D$4)/2)-$D$5),3),FAKT_C109,2,-1)),0)</f>
        <v>704</v>
      </c>
      <c r="I29" s="175">
        <f>ROUND('BASE-C150POWER'!G8*(VLOOKUP(ROUND(((($D$3+$D$4)/2)-$D$5),3),FAKT_C109,2,-1)),0)</f>
        <v>751</v>
      </c>
      <c r="J29" s="175">
        <f>ROUND('BASE-C150POWER'!H8*(VLOOKUP(ROUND(((($D$3+$D$4)/2)-$D$5),3),FAKT_C109,2,-1)),0)</f>
        <v>776</v>
      </c>
      <c r="K29" s="176">
        <f>ROUND('BASE-C150POWER'!I8*(VLOOKUP(ROUND(((($D$3+$D$4)/2)-$D$5),3),FAKT_C109,2,-1)),0)</f>
        <v>891</v>
      </c>
    </row>
    <row r="30" spans="2:11" ht="12.75" customHeight="1" x14ac:dyDescent="0.2">
      <c r="B30" s="482"/>
      <c r="C30" s="482"/>
      <c r="D30" s="189">
        <f t="shared" ref="D30:K30" si="6">ROUNDDOWN(D29/(1.161*($D$3-$D$4)),0)</f>
        <v>20</v>
      </c>
      <c r="E30" s="177">
        <f t="shared" si="6"/>
        <v>24</v>
      </c>
      <c r="F30" s="177">
        <f t="shared" si="6"/>
        <v>50</v>
      </c>
      <c r="G30" s="177">
        <f t="shared" si="6"/>
        <v>51</v>
      </c>
      <c r="H30" s="177">
        <f t="shared" si="6"/>
        <v>60</v>
      </c>
      <c r="I30" s="177">
        <f t="shared" si="6"/>
        <v>64</v>
      </c>
      <c r="J30" s="177">
        <f t="shared" si="6"/>
        <v>66</v>
      </c>
      <c r="K30" s="178">
        <f t="shared" si="6"/>
        <v>76</v>
      </c>
    </row>
    <row r="31" spans="2:11" ht="12.75" customHeight="1" x14ac:dyDescent="0.2">
      <c r="B31" s="483">
        <v>1550</v>
      </c>
      <c r="C31" s="483"/>
      <c r="D31" s="275">
        <f>ROUND('BASE-C150POWER'!B9*(VLOOKUP(ROUND(((($D$3+$D$4)/2)-$D$5),3),FAKT_C109,2,-1)),0)</f>
        <v>287</v>
      </c>
      <c r="E31" s="267">
        <f>ROUND('BASE-C150POWER'!C9*(VLOOKUP(ROUND(((($D$3+$D$4)/2)-$D$5),3),FAKT_C109,2,-1)),0)</f>
        <v>347</v>
      </c>
      <c r="F31" s="267">
        <f>ROUND('BASE-C150POWER'!D9*(VLOOKUP(ROUND(((($D$3+$D$4)/2)-$D$5),3),FAKT_C109,2,-1)),0)</f>
        <v>701</v>
      </c>
      <c r="G31" s="267">
        <f>ROUND('BASE-C150POWER'!E9*(VLOOKUP(ROUND(((($D$3+$D$4)/2)-$D$5),3),FAKT_C109,2,-1)),0)</f>
        <v>723</v>
      </c>
      <c r="H31" s="267">
        <f>ROUND('BASE-C150POWER'!F9*(VLOOKUP(ROUND(((($D$3+$D$4)/2)-$D$5),3),FAKT_C109,2,-1)),0)</f>
        <v>845</v>
      </c>
      <c r="I31" s="267">
        <f>ROUND('BASE-C150POWER'!G9*(VLOOKUP(ROUND(((($D$3+$D$4)/2)-$D$5),3),FAKT_C109,2,-1)),0)</f>
        <v>901</v>
      </c>
      <c r="J31" s="267">
        <f>ROUND('BASE-C150POWER'!H9*(VLOOKUP(ROUND(((($D$3+$D$4)/2)-$D$5),3),FAKT_C109,2,-1)),0)</f>
        <v>932</v>
      </c>
      <c r="K31" s="268">
        <f>ROUND('BASE-C150POWER'!I9*(VLOOKUP(ROUND(((($D$3+$D$4)/2)-$D$5),3),FAKT_C109,2,-1)),0)</f>
        <v>1070</v>
      </c>
    </row>
    <row r="32" spans="2:11" ht="12.75" customHeight="1" x14ac:dyDescent="0.2">
      <c r="B32" s="483"/>
      <c r="C32" s="483"/>
      <c r="D32" s="276">
        <f t="shared" ref="D32:K32" si="7">ROUNDDOWN(D31/(1.161*($D$3-$D$4)),0)</f>
        <v>24</v>
      </c>
      <c r="E32" s="269">
        <f t="shared" si="7"/>
        <v>29</v>
      </c>
      <c r="F32" s="269">
        <f t="shared" si="7"/>
        <v>60</v>
      </c>
      <c r="G32" s="269">
        <f t="shared" si="7"/>
        <v>62</v>
      </c>
      <c r="H32" s="269">
        <f t="shared" si="7"/>
        <v>72</v>
      </c>
      <c r="I32" s="269">
        <f t="shared" si="7"/>
        <v>77</v>
      </c>
      <c r="J32" s="269">
        <f t="shared" si="7"/>
        <v>80</v>
      </c>
      <c r="K32" s="270">
        <f t="shared" si="7"/>
        <v>92</v>
      </c>
    </row>
    <row r="33" spans="2:11" ht="12.75" customHeight="1" x14ac:dyDescent="0.2">
      <c r="B33" s="482">
        <v>1750</v>
      </c>
      <c r="C33" s="482"/>
      <c r="D33" s="188">
        <f>ROUND('BASE-C150POWER'!B10*(VLOOKUP(ROUND(((($D$3+$D$4)/2)-$D$5),3),FAKT_C109,2,-1)),0)</f>
        <v>335</v>
      </c>
      <c r="E33" s="175">
        <f>ROUND('BASE-C150POWER'!C10*(VLOOKUP(ROUND(((($D$3+$D$4)/2)-$D$5),3),FAKT_C109,2,-1)),0)</f>
        <v>406</v>
      </c>
      <c r="F33" s="175">
        <f>ROUND('BASE-C150POWER'!D10*(VLOOKUP(ROUND(((($D$3+$D$4)/2)-$D$5),3),FAKT_C109,2,-1)),0)</f>
        <v>818</v>
      </c>
      <c r="G33" s="175">
        <f>ROUND('BASE-C150POWER'!E10*(VLOOKUP(ROUND(((($D$3+$D$4)/2)-$D$5),3),FAKT_C109,2,-1)),0)</f>
        <v>844</v>
      </c>
      <c r="H33" s="175">
        <f>ROUND('BASE-C150POWER'!F10*(VLOOKUP(ROUND(((($D$3+$D$4)/2)-$D$5),3),FAKT_C109,2,-1)),0)</f>
        <v>986</v>
      </c>
      <c r="I33" s="175">
        <f>ROUND('BASE-C150POWER'!G10*(VLOOKUP(ROUND(((($D$3+$D$4)/2)-$D$5),3),FAKT_C109,2,-1)),0)</f>
        <v>1051</v>
      </c>
      <c r="J33" s="175">
        <f>ROUND('BASE-C150POWER'!H10*(VLOOKUP(ROUND(((($D$3+$D$4)/2)-$D$5),3),FAKT_C109,2,-1)),0)</f>
        <v>1086</v>
      </c>
      <c r="K33" s="176">
        <f>ROUND('BASE-C150POWER'!I10*(VLOOKUP(ROUND(((($D$3+$D$4)/2)-$D$5),3),FAKT_C109,2,-1)),0)</f>
        <v>1247</v>
      </c>
    </row>
    <row r="34" spans="2:11" ht="12.75" customHeight="1" x14ac:dyDescent="0.2">
      <c r="B34" s="482"/>
      <c r="C34" s="482"/>
      <c r="D34" s="189">
        <f t="shared" ref="D34:K34" si="8">ROUNDDOWN(D33/(1.161*($D$3-$D$4)),0)</f>
        <v>28</v>
      </c>
      <c r="E34" s="177">
        <f t="shared" si="8"/>
        <v>34</v>
      </c>
      <c r="F34" s="177">
        <f t="shared" si="8"/>
        <v>70</v>
      </c>
      <c r="G34" s="177">
        <f t="shared" si="8"/>
        <v>72</v>
      </c>
      <c r="H34" s="177">
        <f t="shared" si="8"/>
        <v>84</v>
      </c>
      <c r="I34" s="177">
        <f t="shared" si="8"/>
        <v>90</v>
      </c>
      <c r="J34" s="177">
        <f t="shared" si="8"/>
        <v>93</v>
      </c>
      <c r="K34" s="178">
        <f t="shared" si="8"/>
        <v>107</v>
      </c>
    </row>
    <row r="35" spans="2:11" ht="12.75" customHeight="1" x14ac:dyDescent="0.2">
      <c r="B35" s="483">
        <v>1950</v>
      </c>
      <c r="C35" s="483"/>
      <c r="D35" s="275">
        <f>ROUND('BASE-C150POWER'!B11*(VLOOKUP(ROUND(((($D$3+$D$4)/2)-$D$5),3),FAKT_C109,2,-1)),0)</f>
        <v>383</v>
      </c>
      <c r="E35" s="267">
        <f>ROUND('BASE-C150POWER'!C11*(VLOOKUP(ROUND(((($D$3+$D$4)/2)-$D$5),3),FAKT_C109,2,-1)),0)</f>
        <v>463</v>
      </c>
      <c r="F35" s="267">
        <f>ROUND('BASE-C150POWER'!D11*(VLOOKUP(ROUND(((($D$3+$D$4)/2)-$D$5),3),FAKT_C109,2,-1)),0)</f>
        <v>935</v>
      </c>
      <c r="G35" s="267">
        <f>ROUND('BASE-C150POWER'!E11*(VLOOKUP(ROUND(((($D$3+$D$4)/2)-$D$5),3),FAKT_C109,2,-1)),0)</f>
        <v>964</v>
      </c>
      <c r="H35" s="267">
        <f>ROUND('BASE-C150POWER'!F11*(VLOOKUP(ROUND(((($D$3+$D$4)/2)-$D$5),3),FAKT_C109,2,-1)),0)</f>
        <v>1127</v>
      </c>
      <c r="I35" s="267">
        <f>ROUND('BASE-C150POWER'!G11*(VLOOKUP(ROUND(((($D$3+$D$4)/2)-$D$5),3),FAKT_C109,2,-1)),0)</f>
        <v>1201</v>
      </c>
      <c r="J35" s="267">
        <f>ROUND('BASE-C150POWER'!H11*(VLOOKUP(ROUND(((($D$3+$D$4)/2)-$D$5),3),FAKT_C109,2,-1)),0)</f>
        <v>1242</v>
      </c>
      <c r="K35" s="268">
        <f>ROUND('BASE-C150POWER'!I11*(VLOOKUP(ROUND(((($D$3+$D$4)/2)-$D$5),3),FAKT_C109,2,-1)),0)</f>
        <v>1426</v>
      </c>
    </row>
    <row r="36" spans="2:11" ht="12.75" customHeight="1" x14ac:dyDescent="0.2">
      <c r="B36" s="483"/>
      <c r="C36" s="483"/>
      <c r="D36" s="276">
        <f t="shared" ref="D36:K36" si="9">ROUNDDOWN(D35/(1.161*($D$3-$D$4)),0)</f>
        <v>32</v>
      </c>
      <c r="E36" s="269">
        <f t="shared" si="9"/>
        <v>39</v>
      </c>
      <c r="F36" s="269">
        <f t="shared" si="9"/>
        <v>80</v>
      </c>
      <c r="G36" s="269">
        <f t="shared" si="9"/>
        <v>83</v>
      </c>
      <c r="H36" s="269">
        <f t="shared" si="9"/>
        <v>97</v>
      </c>
      <c r="I36" s="269">
        <f t="shared" si="9"/>
        <v>103</v>
      </c>
      <c r="J36" s="269">
        <f t="shared" si="9"/>
        <v>106</v>
      </c>
      <c r="K36" s="270">
        <f t="shared" si="9"/>
        <v>122</v>
      </c>
    </row>
    <row r="37" spans="2:11" ht="12.75" customHeight="1" x14ac:dyDescent="0.2">
      <c r="B37" s="482">
        <v>2150</v>
      </c>
      <c r="C37" s="482"/>
      <c r="D37" s="188">
        <f>ROUND('BASE-C150POWER'!B12*(VLOOKUP(ROUND(((($D$3+$D$4)/2)-$D$5),3),FAKT_C109,2,-1)),0)</f>
        <v>431</v>
      </c>
      <c r="E37" s="175">
        <f>ROUND('BASE-C150POWER'!C12*(VLOOKUP(ROUND(((($D$3+$D$4)/2)-$D$5),3),FAKT_C109,2,-1)),0)</f>
        <v>522</v>
      </c>
      <c r="F37" s="175">
        <f>ROUND('BASE-C150POWER'!D12*(VLOOKUP(ROUND(((($D$3+$D$4)/2)-$D$5),3),FAKT_C109,2,-1)),0)</f>
        <v>1052</v>
      </c>
      <c r="G37" s="175">
        <f>ROUND('BASE-C150POWER'!E12*(VLOOKUP(ROUND(((($D$3+$D$4)/2)-$D$5),3),FAKT_C109,2,-1)),0)</f>
        <v>1085</v>
      </c>
      <c r="H37" s="175">
        <f>ROUND('BASE-C150POWER'!F12*(VLOOKUP(ROUND(((($D$3+$D$4)/2)-$D$5),3),FAKT_C109,2,-1)),0)</f>
        <v>1268</v>
      </c>
      <c r="I37" s="175">
        <f>ROUND('BASE-C150POWER'!G12*(VLOOKUP(ROUND(((($D$3+$D$4)/2)-$D$5),3),FAKT_C109,2,-1)),0)</f>
        <v>1351</v>
      </c>
      <c r="J37" s="175">
        <f>ROUND('BASE-C150POWER'!H12*(VLOOKUP(ROUND(((($D$3+$D$4)/2)-$D$5),3),FAKT_C109,2,-1)),0)</f>
        <v>1396</v>
      </c>
      <c r="K37" s="176">
        <f>ROUND('BASE-C150POWER'!I12*(VLOOKUP(ROUND(((($D$3+$D$4)/2)-$D$5),3),FAKT_C109,2,-1)),0)</f>
        <v>1603</v>
      </c>
    </row>
    <row r="38" spans="2:11" ht="12.75" customHeight="1" x14ac:dyDescent="0.2">
      <c r="B38" s="482"/>
      <c r="C38" s="482"/>
      <c r="D38" s="189">
        <f t="shared" ref="D38:K38" si="10">ROUNDDOWN(D37/(1.161*($D$3-$D$4)),0)</f>
        <v>37</v>
      </c>
      <c r="E38" s="177">
        <f t="shared" si="10"/>
        <v>44</v>
      </c>
      <c r="F38" s="177">
        <f t="shared" si="10"/>
        <v>90</v>
      </c>
      <c r="G38" s="177">
        <f t="shared" si="10"/>
        <v>93</v>
      </c>
      <c r="H38" s="177">
        <f t="shared" si="10"/>
        <v>109</v>
      </c>
      <c r="I38" s="177">
        <f t="shared" si="10"/>
        <v>116</v>
      </c>
      <c r="J38" s="177">
        <f t="shared" si="10"/>
        <v>120</v>
      </c>
      <c r="K38" s="178">
        <f t="shared" si="10"/>
        <v>138</v>
      </c>
    </row>
    <row r="39" spans="2:11" ht="12.75" customHeight="1" x14ac:dyDescent="0.2">
      <c r="B39" s="483">
        <v>2350</v>
      </c>
      <c r="C39" s="483"/>
      <c r="D39" s="275">
        <f>ROUND('BASE-C150POWER'!B13*(VLOOKUP(ROUND(((($D$3+$D$4)/2)-$D$5),3),FAKT_C109,2,-1)),0)</f>
        <v>479</v>
      </c>
      <c r="E39" s="267">
        <f>ROUND('BASE-C150POWER'!C13*(VLOOKUP(ROUND(((($D$3+$D$4)/2)-$D$5),3),FAKT_C109,2,-1)),0)</f>
        <v>580</v>
      </c>
      <c r="F39" s="267">
        <f>ROUND('BASE-C150POWER'!D13*(VLOOKUP(ROUND(((($D$3+$D$4)/2)-$D$5),3),FAKT_C109,2,-1)),0)</f>
        <v>1169</v>
      </c>
      <c r="G39" s="267">
        <f>ROUND('BASE-C150POWER'!E13*(VLOOKUP(ROUND(((($D$3+$D$4)/2)-$D$5),3),FAKT_C109,2,-1)),0)</f>
        <v>1205</v>
      </c>
      <c r="H39" s="267">
        <f>ROUND('BASE-C150POWER'!F13*(VLOOKUP(ROUND(((($D$3+$D$4)/2)-$D$5),3),FAKT_C109,2,-1)),0)</f>
        <v>1409</v>
      </c>
      <c r="I39" s="267">
        <f>ROUND('BASE-C150POWER'!G13*(VLOOKUP(ROUND(((($D$3+$D$4)/2)-$D$5),3),FAKT_C109,2,-1)),0)</f>
        <v>1502</v>
      </c>
      <c r="J39" s="267">
        <f>ROUND('BASE-C150POWER'!H13*(VLOOKUP(ROUND(((($D$3+$D$4)/2)-$D$5),3),FAKT_C109,2,-1)),0)</f>
        <v>1552</v>
      </c>
      <c r="K39" s="268">
        <f>ROUND('BASE-C150POWER'!I13*(VLOOKUP(ROUND(((($D$3+$D$4)/2)-$D$5),3),FAKT_C109,2,-1)),0)</f>
        <v>1782</v>
      </c>
    </row>
    <row r="40" spans="2:11" ht="12.75" customHeight="1" x14ac:dyDescent="0.2">
      <c r="B40" s="483"/>
      <c r="C40" s="483"/>
      <c r="D40" s="276">
        <f t="shared" ref="D40:K40" si="11">ROUNDDOWN(D39/(1.161*($D$3-$D$4)),0)</f>
        <v>41</v>
      </c>
      <c r="E40" s="269">
        <f t="shared" si="11"/>
        <v>49</v>
      </c>
      <c r="F40" s="269">
        <f t="shared" si="11"/>
        <v>100</v>
      </c>
      <c r="G40" s="269">
        <f t="shared" si="11"/>
        <v>103</v>
      </c>
      <c r="H40" s="269">
        <f t="shared" si="11"/>
        <v>121</v>
      </c>
      <c r="I40" s="269">
        <f t="shared" si="11"/>
        <v>129</v>
      </c>
      <c r="J40" s="269">
        <f t="shared" si="11"/>
        <v>133</v>
      </c>
      <c r="K40" s="270">
        <f t="shared" si="11"/>
        <v>153</v>
      </c>
    </row>
    <row r="41" spans="2:11" ht="12.75" customHeight="1" x14ac:dyDescent="0.2">
      <c r="B41" s="482">
        <v>2550</v>
      </c>
      <c r="C41" s="482"/>
      <c r="D41" s="188">
        <f>ROUND('BASE-C150POWER'!B14*(VLOOKUP(ROUND(((($D$3+$D$4)/2)-$D$5),3),FAKT_C109,2,-1)),0)</f>
        <v>526</v>
      </c>
      <c r="E41" s="175">
        <f>ROUND('BASE-C150POWER'!C14*(VLOOKUP(ROUND(((($D$3+$D$4)/2)-$D$5),3),FAKT_C109,2,-1)),0)</f>
        <v>637</v>
      </c>
      <c r="F41" s="175">
        <f>ROUND('BASE-C150POWER'!D14*(VLOOKUP(ROUND(((($D$3+$D$4)/2)-$D$5),3),FAKT_C109,2,-1)),0)</f>
        <v>1285</v>
      </c>
      <c r="G41" s="175">
        <f>ROUND('BASE-C150POWER'!E14*(VLOOKUP(ROUND(((($D$3+$D$4)/2)-$D$5),3),FAKT_C109,2,-1)),0)</f>
        <v>1326</v>
      </c>
      <c r="H41" s="175">
        <f>ROUND('BASE-C150POWER'!F14*(VLOOKUP(ROUND(((($D$3+$D$4)/2)-$D$5),3),FAKT_C109,2,-1)),0)</f>
        <v>1550</v>
      </c>
      <c r="I41" s="175">
        <f>ROUND('BASE-C150POWER'!G14*(VLOOKUP(ROUND(((($D$3+$D$4)/2)-$D$5),3),FAKT_C109,2,-1)),0)</f>
        <v>1652</v>
      </c>
      <c r="J41" s="175">
        <f>ROUND('BASE-C150POWER'!H14*(VLOOKUP(ROUND(((($D$3+$D$4)/2)-$D$5),3),FAKT_C109,2,-1)),0)</f>
        <v>1707</v>
      </c>
      <c r="K41" s="176">
        <f>ROUND('BASE-C150POWER'!I14*(VLOOKUP(ROUND(((($D$3+$D$4)/2)-$D$5),3),FAKT_C109,2,-1)),0)</f>
        <v>1960</v>
      </c>
    </row>
    <row r="42" spans="2:11" ht="12.75" customHeight="1" x14ac:dyDescent="0.2">
      <c r="B42" s="482"/>
      <c r="C42" s="482"/>
      <c r="D42" s="189">
        <f t="shared" ref="D42:K42" si="12">ROUNDDOWN(D41/(1.161*($D$3-$D$4)),0)</f>
        <v>45</v>
      </c>
      <c r="E42" s="177">
        <f t="shared" si="12"/>
        <v>54</v>
      </c>
      <c r="F42" s="177">
        <f t="shared" si="12"/>
        <v>110</v>
      </c>
      <c r="G42" s="177">
        <f t="shared" si="12"/>
        <v>114</v>
      </c>
      <c r="H42" s="177">
        <f t="shared" si="12"/>
        <v>133</v>
      </c>
      <c r="I42" s="177">
        <f t="shared" si="12"/>
        <v>142</v>
      </c>
      <c r="J42" s="177">
        <f t="shared" si="12"/>
        <v>147</v>
      </c>
      <c r="K42" s="178">
        <f t="shared" si="12"/>
        <v>168</v>
      </c>
    </row>
    <row r="43" spans="2:11" ht="12.75" customHeight="1" x14ac:dyDescent="0.2">
      <c r="B43" s="483">
        <v>2750</v>
      </c>
      <c r="C43" s="483"/>
      <c r="D43" s="275">
        <f>ROUND('BASE-C150POWER'!B15*(VLOOKUP(ROUND(((($D$3+$D$4)/2)-$D$5),3),FAKT_C109,2,-1)),0)</f>
        <v>575</v>
      </c>
      <c r="E43" s="267">
        <f>ROUND('BASE-C150POWER'!C15*(VLOOKUP(ROUND(((($D$3+$D$4)/2)-$D$5),3),FAKT_C109,2,-1)),0)</f>
        <v>696</v>
      </c>
      <c r="F43" s="267">
        <f>ROUND('BASE-C150POWER'!D15*(VLOOKUP(ROUND(((($D$3+$D$4)/2)-$D$5),3),FAKT_C109,2,-1)),0)</f>
        <v>1402</v>
      </c>
      <c r="G43" s="267">
        <f>ROUND('BASE-C150POWER'!E15*(VLOOKUP(ROUND(((($D$3+$D$4)/2)-$D$5),3),FAKT_C109,2,-1)),0)</f>
        <v>1446</v>
      </c>
      <c r="H43" s="267">
        <f>ROUND('BASE-C150POWER'!F15*(VLOOKUP(ROUND(((($D$3+$D$4)/2)-$D$5),3),FAKT_C109,2,-1)),0)</f>
        <v>1691</v>
      </c>
      <c r="I43" s="267">
        <f>ROUND('BASE-C150POWER'!G15*(VLOOKUP(ROUND(((($D$3+$D$4)/2)-$D$5),3),FAKT_C109,2,-1)),0)</f>
        <v>1802</v>
      </c>
      <c r="J43" s="267">
        <f>ROUND('BASE-C150POWER'!H15*(VLOOKUP(ROUND(((($D$3+$D$4)/2)-$D$5),3),FAKT_C109,2,-1)),0)</f>
        <v>1862</v>
      </c>
      <c r="K43" s="268">
        <f>ROUND('BASE-C150POWER'!I15*(VLOOKUP(ROUND(((($D$3+$D$4)/2)-$D$5),3),FAKT_C109,2,-1)),0)</f>
        <v>2138</v>
      </c>
    </row>
    <row r="44" spans="2:11" ht="12.75" customHeight="1" x14ac:dyDescent="0.2">
      <c r="B44" s="483"/>
      <c r="C44" s="483"/>
      <c r="D44" s="276">
        <f t="shared" ref="D44:K44" si="13">ROUNDDOWN(D43/(1.161*($D$3-$D$4)),0)</f>
        <v>49</v>
      </c>
      <c r="E44" s="269">
        <f t="shared" si="13"/>
        <v>59</v>
      </c>
      <c r="F44" s="269">
        <f t="shared" si="13"/>
        <v>120</v>
      </c>
      <c r="G44" s="269">
        <f t="shared" si="13"/>
        <v>124</v>
      </c>
      <c r="H44" s="269">
        <f t="shared" si="13"/>
        <v>145</v>
      </c>
      <c r="I44" s="269">
        <f t="shared" si="13"/>
        <v>155</v>
      </c>
      <c r="J44" s="269">
        <f t="shared" si="13"/>
        <v>160</v>
      </c>
      <c r="K44" s="270">
        <f t="shared" si="13"/>
        <v>184</v>
      </c>
    </row>
    <row r="45" spans="2:11" ht="12.75" customHeight="1" x14ac:dyDescent="0.2">
      <c r="B45" s="482">
        <v>2950</v>
      </c>
      <c r="C45" s="482"/>
      <c r="D45" s="188">
        <f>ROUND('BASE-C150POWER'!B16*(VLOOKUP(ROUND(((($D$3+$D$4)/2)-$D$5),3),FAKT_C109,2,-1)),0)</f>
        <v>622</v>
      </c>
      <c r="E45" s="175">
        <f>ROUND('BASE-C150POWER'!C16*(VLOOKUP(ROUND(((($D$3+$D$4)/2)-$D$5),3),FAKT_C109,2,-1)),0)</f>
        <v>753</v>
      </c>
      <c r="F45" s="175">
        <f>ROUND('BASE-C150POWER'!D16*(VLOOKUP(ROUND(((($D$3+$D$4)/2)-$D$5),3),FAKT_C109,2,-1)),0)</f>
        <v>1519</v>
      </c>
      <c r="G45" s="175">
        <f>ROUND('BASE-C150POWER'!E16*(VLOOKUP(ROUND(((($D$3+$D$4)/2)-$D$5),3),FAKT_C109,2,-1)),0)</f>
        <v>1567</v>
      </c>
      <c r="H45" s="175">
        <f>ROUND('BASE-C150POWER'!F16*(VLOOKUP(ROUND(((($D$3+$D$4)/2)-$D$5),3),FAKT_C109,2,-1)),0)</f>
        <v>1831</v>
      </c>
      <c r="I45" s="175">
        <f>ROUND('BASE-C150POWER'!G16*(VLOOKUP(ROUND(((($D$3+$D$4)/2)-$D$5),3),FAKT_C109,2,-1)),0)</f>
        <v>1952</v>
      </c>
      <c r="J45" s="175">
        <f>ROUND('BASE-C150POWER'!H16*(VLOOKUP(ROUND(((($D$3+$D$4)/2)-$D$5),3),FAKT_C109,2,-1)),0)</f>
        <v>2018</v>
      </c>
      <c r="K45" s="176">
        <f>ROUND('BASE-C150POWER'!I16*(VLOOKUP(ROUND(((($D$3+$D$4)/2)-$D$5),3),FAKT_C109,2,-1)),0)</f>
        <v>2317</v>
      </c>
    </row>
    <row r="46" spans="2:11" ht="12.75" customHeight="1" x14ac:dyDescent="0.2">
      <c r="B46" s="482"/>
      <c r="C46" s="482"/>
      <c r="D46" s="189">
        <f t="shared" ref="D46:K46" si="14">ROUNDDOWN(D45/(1.161*($D$3-$D$4)),0)</f>
        <v>53</v>
      </c>
      <c r="E46" s="177">
        <f t="shared" si="14"/>
        <v>64</v>
      </c>
      <c r="F46" s="177">
        <f t="shared" si="14"/>
        <v>130</v>
      </c>
      <c r="G46" s="177">
        <f t="shared" si="14"/>
        <v>134</v>
      </c>
      <c r="H46" s="177">
        <f t="shared" si="14"/>
        <v>157</v>
      </c>
      <c r="I46" s="177">
        <f t="shared" si="14"/>
        <v>168</v>
      </c>
      <c r="J46" s="177">
        <f t="shared" si="14"/>
        <v>173</v>
      </c>
      <c r="K46" s="178">
        <f t="shared" si="14"/>
        <v>199</v>
      </c>
    </row>
    <row r="47" spans="2:11" ht="12.75" customHeight="1" x14ac:dyDescent="0.2">
      <c r="B47" s="483">
        <v>3150</v>
      </c>
      <c r="C47" s="483"/>
      <c r="D47" s="275">
        <f>ROUND('BASE-C150POWER'!B17*(VLOOKUP(ROUND(((($D$3+$D$4)/2)-$D$5),3),FAKT_C109,2,-1)),0)</f>
        <v>671</v>
      </c>
      <c r="E47" s="267">
        <f>ROUND('BASE-C150POWER'!C17*(VLOOKUP(ROUND(((($D$3+$D$4)/2)-$D$5),3),FAKT_C109,2,-1)),0)</f>
        <v>812</v>
      </c>
      <c r="F47" s="267">
        <f>ROUND('BASE-C150POWER'!D17*(VLOOKUP(ROUND(((($D$3+$D$4)/2)-$D$5),3),FAKT_C109,2,-1)),0)</f>
        <v>1636</v>
      </c>
      <c r="G47" s="267">
        <f>ROUND('BASE-C150POWER'!E17*(VLOOKUP(ROUND(((($D$3+$D$4)/2)-$D$5),3),FAKT_C109,2,-1)),0)</f>
        <v>1688</v>
      </c>
      <c r="H47" s="267">
        <f>ROUND('BASE-C150POWER'!F17*(VLOOKUP(ROUND(((($D$3+$D$4)/2)-$D$5),3),FAKT_C109,2,-1)),0)</f>
        <v>1972</v>
      </c>
      <c r="I47" s="267">
        <f>ROUND('BASE-C150POWER'!G17*(VLOOKUP(ROUND(((($D$3+$D$4)/2)-$D$5),3),FAKT_C109,2,-1)),0)</f>
        <v>2102</v>
      </c>
      <c r="J47" s="267">
        <f>ROUND('BASE-C150POWER'!H17*(VLOOKUP(ROUND(((($D$3+$D$4)/2)-$D$5),3),FAKT_C109,2,-1)),0)</f>
        <v>2172</v>
      </c>
      <c r="K47" s="268">
        <f>ROUND('BASE-C150POWER'!I17*(VLOOKUP(ROUND(((($D$3+$D$4)/2)-$D$5),3),FAKT_C109,2,-1)),0)</f>
        <v>2494</v>
      </c>
    </row>
    <row r="48" spans="2:11" ht="12.75" customHeight="1" x14ac:dyDescent="0.2">
      <c r="B48" s="483"/>
      <c r="C48" s="483"/>
      <c r="D48" s="276">
        <f t="shared" ref="D48:K48" si="15">ROUNDDOWN(D47/(1.161*($D$3-$D$4)),0)</f>
        <v>57</v>
      </c>
      <c r="E48" s="269">
        <f t="shared" si="15"/>
        <v>69</v>
      </c>
      <c r="F48" s="269">
        <f t="shared" si="15"/>
        <v>140</v>
      </c>
      <c r="G48" s="269">
        <f t="shared" si="15"/>
        <v>145</v>
      </c>
      <c r="H48" s="269">
        <f t="shared" si="15"/>
        <v>169</v>
      </c>
      <c r="I48" s="269">
        <f t="shared" si="15"/>
        <v>181</v>
      </c>
      <c r="J48" s="269">
        <f t="shared" si="15"/>
        <v>187</v>
      </c>
      <c r="K48" s="270">
        <f t="shared" si="15"/>
        <v>214</v>
      </c>
    </row>
    <row r="49" spans="2:11" ht="12.75" customHeight="1" x14ac:dyDescent="0.2">
      <c r="B49" s="482">
        <v>3350</v>
      </c>
      <c r="C49" s="482"/>
      <c r="D49" s="188">
        <f>ROUND('BASE-C150POWER'!B18*(VLOOKUP(ROUND(((($D$3+$D$4)/2)-$D$5),3),FAKT_C109,2,-1)),0)</f>
        <v>718</v>
      </c>
      <c r="E49" s="175">
        <f>ROUND('BASE-C150POWER'!C18*(VLOOKUP(ROUND(((($D$3+$D$4)/2)-$D$5),3),FAKT_C109,2,-1)),0)</f>
        <v>869</v>
      </c>
      <c r="F49" s="175">
        <f>ROUND('BASE-C150POWER'!D18*(VLOOKUP(ROUND(((($D$3+$D$4)/2)-$D$5),3),FAKT_C109,2,-1)),0)</f>
        <v>1753</v>
      </c>
      <c r="G49" s="175">
        <f>ROUND('BASE-C150POWER'!E18*(VLOOKUP(ROUND(((($D$3+$D$4)/2)-$D$5),3),FAKT_C109,2,-1)),0)</f>
        <v>1808</v>
      </c>
      <c r="H49" s="175">
        <f>ROUND('BASE-C150POWER'!F18*(VLOOKUP(ROUND(((($D$3+$D$4)/2)-$D$5),3),FAKT_C109,2,-1)),0)</f>
        <v>2113</v>
      </c>
      <c r="I49" s="175">
        <f>ROUND('BASE-C150POWER'!G18*(VLOOKUP(ROUND(((($D$3+$D$4)/2)-$D$5),3),FAKT_C109,2,-1)),0)</f>
        <v>2252</v>
      </c>
      <c r="J49" s="175">
        <f>ROUND('BASE-C150POWER'!H18*(VLOOKUP(ROUND(((($D$3+$D$4)/2)-$D$5),3),FAKT_C109,2,-1)),0)</f>
        <v>2328</v>
      </c>
      <c r="K49" s="176">
        <f>ROUND('BASE-C150POWER'!I18*(VLOOKUP(ROUND(((($D$3+$D$4)/2)-$D$5),3),FAKT_C109,2,-1)),0)</f>
        <v>2673</v>
      </c>
    </row>
    <row r="50" spans="2:11" ht="12.75" customHeight="1" x14ac:dyDescent="0.2">
      <c r="B50" s="482"/>
      <c r="C50" s="482"/>
      <c r="D50" s="189">
        <f t="shared" ref="D50:K50" si="16">ROUNDDOWN(D49/(1.161*($D$3-$D$4)),0)</f>
        <v>61</v>
      </c>
      <c r="E50" s="177">
        <f t="shared" si="16"/>
        <v>74</v>
      </c>
      <c r="F50" s="177">
        <f t="shared" si="16"/>
        <v>150</v>
      </c>
      <c r="G50" s="177">
        <f t="shared" si="16"/>
        <v>155</v>
      </c>
      <c r="H50" s="177">
        <f t="shared" si="16"/>
        <v>181</v>
      </c>
      <c r="I50" s="177">
        <f t="shared" si="16"/>
        <v>193</v>
      </c>
      <c r="J50" s="177">
        <f t="shared" si="16"/>
        <v>200</v>
      </c>
      <c r="K50" s="178">
        <f t="shared" si="16"/>
        <v>230</v>
      </c>
    </row>
    <row r="51" spans="2:11" ht="12.75" customHeight="1" x14ac:dyDescent="0.2">
      <c r="B51" s="483">
        <v>3550</v>
      </c>
      <c r="C51" s="483"/>
      <c r="D51" s="275">
        <f>ROUND('BASE-C150POWER'!B19*(VLOOKUP(ROUND(((($D$3+$D$4)/2)-$D$5),3),FAKT_C109,2,-1)),0)</f>
        <v>766</v>
      </c>
      <c r="E51" s="267">
        <f>ROUND('BASE-C150POWER'!C19*(VLOOKUP(ROUND(((($D$3+$D$4)/2)-$D$5),3),FAKT_C109,2,-1)),0)</f>
        <v>927</v>
      </c>
      <c r="F51" s="267">
        <f>ROUND('BASE-C150POWER'!D19*(VLOOKUP(ROUND(((($D$3+$D$4)/2)-$D$5),3),FAKT_C109,2,-1)),0)</f>
        <v>1870</v>
      </c>
      <c r="G51" s="267">
        <f>ROUND('BASE-C150POWER'!E19*(VLOOKUP(ROUND(((($D$3+$D$4)/2)-$D$5),3),FAKT_C109,2,-1)),0)</f>
        <v>1929</v>
      </c>
      <c r="H51" s="267">
        <f>ROUND('BASE-C150POWER'!F19*(VLOOKUP(ROUND(((($D$3+$D$4)/2)-$D$5),3),FAKT_C109,2,-1)),0)</f>
        <v>2254</v>
      </c>
      <c r="I51" s="267">
        <f>ROUND('BASE-C150POWER'!G19*(VLOOKUP(ROUND(((($D$3+$D$4)/2)-$D$5),3),FAKT_C109,2,-1)),0)</f>
        <v>2403</v>
      </c>
      <c r="J51" s="267">
        <f>ROUND('BASE-C150POWER'!H19*(VLOOKUP(ROUND(((($D$3+$D$4)/2)-$D$5),3),FAKT_C109,2,-1)),0)</f>
        <v>2483</v>
      </c>
      <c r="K51" s="268">
        <f>ROUND('BASE-C150POWER'!I19*(VLOOKUP(ROUND(((($D$3+$D$4)/2)-$D$5),3),FAKT_C109,2,-1)),0)</f>
        <v>2851</v>
      </c>
    </row>
    <row r="52" spans="2:11" ht="12.75" customHeight="1" x14ac:dyDescent="0.2">
      <c r="B52" s="483"/>
      <c r="C52" s="483"/>
      <c r="D52" s="276">
        <f t="shared" ref="D52:K52" si="17">ROUNDDOWN(D51/(1.161*($D$3-$D$4)),0)</f>
        <v>65</v>
      </c>
      <c r="E52" s="269">
        <f t="shared" si="17"/>
        <v>79</v>
      </c>
      <c r="F52" s="269">
        <f t="shared" si="17"/>
        <v>161</v>
      </c>
      <c r="G52" s="269">
        <f t="shared" si="17"/>
        <v>166</v>
      </c>
      <c r="H52" s="269">
        <f t="shared" si="17"/>
        <v>194</v>
      </c>
      <c r="I52" s="269">
        <f t="shared" si="17"/>
        <v>206</v>
      </c>
      <c r="J52" s="269">
        <f t="shared" si="17"/>
        <v>213</v>
      </c>
      <c r="K52" s="270">
        <f t="shared" si="17"/>
        <v>245</v>
      </c>
    </row>
    <row r="53" spans="2:11" ht="12.75" customHeight="1" x14ac:dyDescent="0.2">
      <c r="B53" s="482">
        <v>3750</v>
      </c>
      <c r="C53" s="482"/>
      <c r="D53" s="188">
        <f>ROUND('BASE-C150POWER'!B20*(VLOOKUP(ROUND(((($D$3+$D$4)/2)-$D$5),3),FAKT_C109,2,-1)),0)</f>
        <v>814</v>
      </c>
      <c r="E53" s="175">
        <f>ROUND('BASE-C150POWER'!C20*(VLOOKUP(ROUND(((($D$3+$D$4)/2)-$D$5),3),FAKT_C109,2,-1)),0)</f>
        <v>986</v>
      </c>
      <c r="F53" s="175">
        <f>ROUND('BASE-C150POWER'!D20*(VLOOKUP(ROUND(((($D$3+$D$4)/2)-$D$5),3),FAKT_C109,2,-1)),0)</f>
        <v>1986</v>
      </c>
      <c r="G53" s="175">
        <f>ROUND('BASE-C150POWER'!E20*(VLOOKUP(ROUND(((($D$3+$D$4)/2)-$D$5),3),FAKT_C109,2,-1)),0)</f>
        <v>2049</v>
      </c>
      <c r="H53" s="175">
        <f>ROUND('BASE-C150POWER'!F20*(VLOOKUP(ROUND(((($D$3+$D$4)/2)-$D$5),3),FAKT_C109,2,-1)),0)</f>
        <v>2395</v>
      </c>
      <c r="I53" s="175">
        <f>ROUND('BASE-C150POWER'!G20*(VLOOKUP(ROUND(((($D$3+$D$4)/2)-$D$5),3),FAKT_C109,2,-1)),0)</f>
        <v>2553</v>
      </c>
      <c r="J53" s="175">
        <f>ROUND('BASE-C150POWER'!H20*(VLOOKUP(ROUND(((($D$3+$D$4)/2)-$D$5),3),FAKT_C109,2,-1)),0)</f>
        <v>2638</v>
      </c>
      <c r="K53" s="176">
        <f>ROUND('BASE-C150POWER'!I20*(VLOOKUP(ROUND(((($D$3+$D$4)/2)-$D$5),3),FAKT_C109,2,-1)),0)</f>
        <v>3029</v>
      </c>
    </row>
    <row r="54" spans="2:11" ht="12.75" customHeight="1" x14ac:dyDescent="0.2">
      <c r="B54" s="482"/>
      <c r="C54" s="482"/>
      <c r="D54" s="189">
        <f t="shared" ref="D54:K54" si="18">ROUNDDOWN(D53/(1.161*($D$3-$D$4)),0)</f>
        <v>70</v>
      </c>
      <c r="E54" s="177">
        <f t="shared" si="18"/>
        <v>84</v>
      </c>
      <c r="F54" s="177">
        <f t="shared" si="18"/>
        <v>171</v>
      </c>
      <c r="G54" s="177">
        <f t="shared" si="18"/>
        <v>176</v>
      </c>
      <c r="H54" s="177">
        <f t="shared" si="18"/>
        <v>206</v>
      </c>
      <c r="I54" s="177">
        <f t="shared" si="18"/>
        <v>219</v>
      </c>
      <c r="J54" s="177">
        <f t="shared" si="18"/>
        <v>227</v>
      </c>
      <c r="K54" s="178">
        <f t="shared" si="18"/>
        <v>260</v>
      </c>
    </row>
    <row r="55" spans="2:11" ht="12.75" customHeight="1" x14ac:dyDescent="0.2">
      <c r="B55" s="483">
        <v>3950</v>
      </c>
      <c r="C55" s="483"/>
      <c r="D55" s="275">
        <f>ROUND('BASE-C150POWER'!B21*(VLOOKUP(ROUND(((($D$3+$D$4)/2)-$D$5),3),FAKT_C109,2,-1)),0)</f>
        <v>862</v>
      </c>
      <c r="E55" s="267">
        <f>ROUND('BASE-C150POWER'!C21*(VLOOKUP(ROUND(((($D$3+$D$4)/2)-$D$5),3),FAKT_C109,2,-1)),0)</f>
        <v>1043</v>
      </c>
      <c r="F55" s="267">
        <f>ROUND('BASE-C150POWER'!D21*(VLOOKUP(ROUND(((($D$3+$D$4)/2)-$D$5),3),FAKT_C109,2,-1)),0)</f>
        <v>2103</v>
      </c>
      <c r="G55" s="267">
        <f>ROUND('BASE-C150POWER'!E21*(VLOOKUP(ROUND(((($D$3+$D$4)/2)-$D$5),3),FAKT_C109,2,-1)),0)</f>
        <v>2170</v>
      </c>
      <c r="H55" s="267">
        <f>ROUND('BASE-C150POWER'!F21*(VLOOKUP(ROUND(((($D$3+$D$4)/2)-$D$5),3),FAKT_C109,2,-1)),0)</f>
        <v>2535</v>
      </c>
      <c r="I55" s="267">
        <f>ROUND('BASE-C150POWER'!G21*(VLOOKUP(ROUND(((($D$3+$D$4)/2)-$D$5),3),FAKT_C109,2,-1)),0)</f>
        <v>2702</v>
      </c>
      <c r="J55" s="267">
        <f>ROUND('BASE-C150POWER'!H21*(VLOOKUP(ROUND(((($D$3+$D$4)/2)-$D$5),3),FAKT_C109,2,-1)),0)</f>
        <v>2794</v>
      </c>
      <c r="K55" s="268">
        <f>ROUND('BASE-C150POWER'!I21*(VLOOKUP(ROUND(((($D$3+$D$4)/2)-$D$5),3),FAKT_C109,2,-1)),0)</f>
        <v>3208</v>
      </c>
    </row>
    <row r="56" spans="2:11" ht="12.75" customHeight="1" x14ac:dyDescent="0.2">
      <c r="B56" s="483"/>
      <c r="C56" s="483"/>
      <c r="D56" s="276">
        <f t="shared" ref="D56:K56" si="19">ROUNDDOWN(D55/(1.161*($D$3-$D$4)),0)</f>
        <v>74</v>
      </c>
      <c r="E56" s="269">
        <f t="shared" si="19"/>
        <v>89</v>
      </c>
      <c r="F56" s="269">
        <f t="shared" si="19"/>
        <v>181</v>
      </c>
      <c r="G56" s="269">
        <f t="shared" si="19"/>
        <v>186</v>
      </c>
      <c r="H56" s="269">
        <f t="shared" si="19"/>
        <v>218</v>
      </c>
      <c r="I56" s="269">
        <f t="shared" si="19"/>
        <v>232</v>
      </c>
      <c r="J56" s="269">
        <f t="shared" si="19"/>
        <v>240</v>
      </c>
      <c r="K56" s="270">
        <f t="shared" si="19"/>
        <v>276</v>
      </c>
    </row>
    <row r="57" spans="2:11" ht="10.15" customHeight="1" x14ac:dyDescent="0.2">
      <c r="B57" s="148"/>
      <c r="C57" s="148"/>
      <c r="K57" s="140"/>
    </row>
    <row r="58" spans="2:11" x14ac:dyDescent="0.2">
      <c r="B58" s="141" t="str">
        <f>VLOOKUP(36,TXT,$F$3,0)</f>
        <v>Angabe in Watt  pro Bodenkonvektor-Länge L [mm]</v>
      </c>
      <c r="K58" s="121" t="str">
        <f>VLOOKUP(16,TXT,$F$3,0)</f>
        <v>Wärmeleistungen in Anlehnung an EN 442-2</v>
      </c>
    </row>
    <row r="59" spans="2:11" x14ac:dyDescent="0.2">
      <c r="B59" s="141" t="str">
        <f>VLOOKUP(90,TXT,$F$3,0)</f>
        <v>Leistungsdaten mit Abdeckung, Rollrost Typ 941-17-B (f.Q. 70%)</v>
      </c>
      <c r="K59" s="121"/>
    </row>
    <row r="60" spans="2:11" x14ac:dyDescent="0.2">
      <c r="B60" s="141" t="str">
        <f>CONCATENATE("(*) ",VLOOKUP(29,TXT,$F$3,0))</f>
        <v>(*) Minimale Wassermassenströme von ca. 20 kg/h sollen eingehalten werden</v>
      </c>
      <c r="K60" s="122" t="s">
        <v>1050</v>
      </c>
    </row>
    <row r="61" spans="2:11" x14ac:dyDescent="0.2">
      <c r="B61" s="183"/>
      <c r="C61" s="120"/>
      <c r="F61" s="120"/>
    </row>
    <row r="62" spans="2:11" hidden="1" x14ac:dyDescent="0.2">
      <c r="B62" s="183"/>
      <c r="C62" s="120"/>
      <c r="F62" s="120"/>
    </row>
    <row r="63" spans="2:11" hidden="1" x14ac:dyDescent="0.2">
      <c r="B63" s="183"/>
      <c r="C63" s="120"/>
      <c r="F63" s="120"/>
    </row>
  </sheetData>
  <sheetProtection algorithmName="SHA-512" hashValue="6lyJa6z3y2HeO7b7Wjfa7hNoCdrEI/Cl3lLCthrGsDNFcDLYH/hCl/XWx0y/WfUlSOIhJhZtoAJ+1AuwqTPdKw==" saltValue="IZFKeAuqNAJ9cASjMTa+lw==" spinCount="100000" sheet="1" objects="1" scenarios="1" selectLockedCells="1"/>
  <protectedRanges>
    <protectedRange sqref="F4:F5" name="Bereich1_1_1"/>
  </protectedRanges>
  <mergeCells count="38">
    <mergeCell ref="H16:K16"/>
    <mergeCell ref="B10:D10"/>
    <mergeCell ref="E10:G10"/>
    <mergeCell ref="H10:I10"/>
    <mergeCell ref="J10:K10"/>
    <mergeCell ref="B12:C12"/>
    <mergeCell ref="B13:C13"/>
    <mergeCell ref="B14:C14"/>
    <mergeCell ref="B16:C16"/>
    <mergeCell ref="D16:G16"/>
    <mergeCell ref="B39:C40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53:C54"/>
    <mergeCell ref="B55:C56"/>
    <mergeCell ref="B41:C42"/>
    <mergeCell ref="B43:C44"/>
    <mergeCell ref="B45:C46"/>
    <mergeCell ref="B47:C48"/>
    <mergeCell ref="B49:C50"/>
    <mergeCell ref="B51:C52"/>
    <mergeCell ref="F3:F5"/>
    <mergeCell ref="D2:E2"/>
    <mergeCell ref="B3:C3"/>
    <mergeCell ref="D3:E3"/>
    <mergeCell ref="B4:C4"/>
    <mergeCell ref="D4:E4"/>
    <mergeCell ref="B5:C5"/>
    <mergeCell ref="D5:E5"/>
  </mergeCells>
  <conditionalFormatting sqref="D3:D5">
    <cfRule type="expression" dxfId="147" priority="2">
      <formula>$I$4&lt;&gt;""</formula>
    </cfRule>
    <cfRule type="expression" dxfId="146" priority="3">
      <formula>$K$3&lt;&gt;""</formula>
    </cfRule>
  </conditionalFormatting>
  <conditionalFormatting sqref="D3:E5">
    <cfRule type="expression" dxfId="145" priority="1">
      <formula>$H$4&lt;&gt;""</formula>
    </cfRule>
  </conditionalFormatting>
  <conditionalFormatting sqref="D17:K17">
    <cfRule type="expression" dxfId="144" priority="81" stopIfTrue="1">
      <formula>D18&lt;20</formula>
    </cfRule>
  </conditionalFormatting>
  <conditionalFormatting sqref="D19:K19">
    <cfRule type="expression" dxfId="143" priority="80" stopIfTrue="1">
      <formula>D20&lt;20</formula>
    </cfRule>
  </conditionalFormatting>
  <conditionalFormatting sqref="D21:K21">
    <cfRule type="expression" dxfId="142" priority="60" stopIfTrue="1">
      <formula>D22&lt;20</formula>
    </cfRule>
  </conditionalFormatting>
  <conditionalFormatting sqref="D23:K23">
    <cfRule type="expression" dxfId="141" priority="78" stopIfTrue="1">
      <formula>D24&lt;20</formula>
    </cfRule>
  </conditionalFormatting>
  <conditionalFormatting sqref="D25:K25">
    <cfRule type="expression" dxfId="140" priority="58" stopIfTrue="1">
      <formula>D26&lt;20</formula>
    </cfRule>
  </conditionalFormatting>
  <conditionalFormatting sqref="D27:K27">
    <cfRule type="expression" dxfId="139" priority="76" stopIfTrue="1">
      <formula>D28&lt;20</formula>
    </cfRule>
  </conditionalFormatting>
  <conditionalFormatting sqref="D29:K29">
    <cfRule type="expression" dxfId="138" priority="56" stopIfTrue="1">
      <formula>D30&lt;20</formula>
    </cfRule>
  </conditionalFormatting>
  <conditionalFormatting sqref="D31:K31">
    <cfRule type="expression" dxfId="137" priority="74" stopIfTrue="1">
      <formula>D32&lt;20</formula>
    </cfRule>
  </conditionalFormatting>
  <conditionalFormatting sqref="D33:K33">
    <cfRule type="expression" dxfId="136" priority="54" stopIfTrue="1">
      <formula>D34&lt;20</formula>
    </cfRule>
  </conditionalFormatting>
  <conditionalFormatting sqref="D35:K35">
    <cfRule type="expression" dxfId="135" priority="72" stopIfTrue="1">
      <formula>D36&lt;20</formula>
    </cfRule>
  </conditionalFormatting>
  <conditionalFormatting sqref="D37:K37">
    <cfRule type="expression" dxfId="134" priority="52" stopIfTrue="1">
      <formula>D38&lt;20</formula>
    </cfRule>
  </conditionalFormatting>
  <conditionalFormatting sqref="D39:K39">
    <cfRule type="expression" dxfId="133" priority="70" stopIfTrue="1">
      <formula>D40&lt;20</formula>
    </cfRule>
  </conditionalFormatting>
  <conditionalFormatting sqref="D41:K41">
    <cfRule type="expression" dxfId="132" priority="50" stopIfTrue="1">
      <formula>D42&lt;20</formula>
    </cfRule>
  </conditionalFormatting>
  <conditionalFormatting sqref="D43:K43">
    <cfRule type="expression" dxfId="131" priority="68" stopIfTrue="1">
      <formula>D44&lt;20</formula>
    </cfRule>
  </conditionalFormatting>
  <conditionalFormatting sqref="D45:K45">
    <cfRule type="expression" dxfId="130" priority="48" stopIfTrue="1">
      <formula>D46&lt;20</formula>
    </cfRule>
  </conditionalFormatting>
  <conditionalFormatting sqref="D47:K47">
    <cfRule type="expression" dxfId="129" priority="66" stopIfTrue="1">
      <formula>D48&lt;20</formula>
    </cfRule>
  </conditionalFormatting>
  <conditionalFormatting sqref="D49:K49">
    <cfRule type="expression" dxfId="128" priority="46" stopIfTrue="1">
      <formula>D50&lt;20</formula>
    </cfRule>
  </conditionalFormatting>
  <conditionalFormatting sqref="D51:K51">
    <cfRule type="expression" dxfId="127" priority="64" stopIfTrue="1">
      <formula>D52&lt;20</formula>
    </cfRule>
  </conditionalFormatting>
  <conditionalFormatting sqref="D53:K53">
    <cfRule type="expression" dxfId="126" priority="44" stopIfTrue="1">
      <formula>D54&lt;20</formula>
    </cfRule>
  </conditionalFormatting>
  <conditionalFormatting sqref="D55:K55">
    <cfRule type="expression" dxfId="125" priority="62" stopIfTrue="1">
      <formula>D56&lt;20</formula>
    </cfRule>
  </conditionalFormatting>
  <dataValidations count="4">
    <dataValidation type="whole" allowBlank="1" showInputMessage="1" showErrorMessage="1" sqref="D3:E3" xr:uid="{8BD39358-922B-41B0-9758-268B2727D205}">
      <formula1>30</formula1>
      <formula2>90</formula2>
    </dataValidation>
    <dataValidation type="whole" allowBlank="1" showInputMessage="1" showErrorMessage="1" sqref="D4:E4" xr:uid="{10CBA717-16D2-4A4B-8409-57F580ACA504}">
      <formula1>25</formula1>
      <formula2>85</formula2>
    </dataValidation>
    <dataValidation type="whole" allowBlank="1" showInputMessage="1" showErrorMessage="1" sqref="D5:E5" xr:uid="{5EC98164-24A2-4ECF-B581-841E3C41F466}">
      <formula1>15</formula1>
      <formula2>29</formula2>
    </dataValidation>
    <dataValidation type="whole" allowBlank="1" showInputMessage="1" showErrorMessage="1" sqref="F3:F5" xr:uid="{6F4843C0-A038-4B74-871C-64566C26BCE5}">
      <formula1>2</formula1>
      <formula2>3</formula2>
    </dataValidation>
  </dataValidations>
  <pageMargins left="0.59055118110236227" right="0.39370078740157483" top="1.1811023622047245" bottom="0.78740157480314965" header="0.51181102362204722" footer="0.51181102362204722"/>
  <pageSetup paperSize="9" orientation="portrait" r:id="rId1"/>
  <headerFooter alignWithMargins="0">
    <oddHeader xml:space="preserve">&amp;C&amp;11&amp;G
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E7644A26-29E9-4FAB-9B57-914135ED737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D18</xm:sqref>
        </x14:conditionalFormatting>
        <x14:conditionalFormatting xmlns:xm="http://schemas.microsoft.com/office/excel/2006/main">
          <x14:cfRule type="iconSet" priority="41" id="{57171DEE-DD1F-43FC-AC26-397E3C8A952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D20</xm:sqref>
        </x14:conditionalFormatting>
        <x14:conditionalFormatting xmlns:xm="http://schemas.microsoft.com/office/excel/2006/main">
          <x14:cfRule type="iconSet" priority="21" id="{12D276AF-E283-4F88-BFFC-ACDCCFC59D1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D22</xm:sqref>
        </x14:conditionalFormatting>
        <x14:conditionalFormatting xmlns:xm="http://schemas.microsoft.com/office/excel/2006/main">
          <x14:cfRule type="iconSet" priority="39" id="{E0D80BC9-1A25-4724-A83E-8F31452711A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D24</xm:sqref>
        </x14:conditionalFormatting>
        <x14:conditionalFormatting xmlns:xm="http://schemas.microsoft.com/office/excel/2006/main">
          <x14:cfRule type="iconSet" priority="19" id="{1202BFC4-886A-4B1F-A3A4-3F3857D6778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D26</xm:sqref>
        </x14:conditionalFormatting>
        <x14:conditionalFormatting xmlns:xm="http://schemas.microsoft.com/office/excel/2006/main">
          <x14:cfRule type="iconSet" priority="37" id="{9638EA33-990C-4EC4-AF88-45CABF2CA53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D28</xm:sqref>
        </x14:conditionalFormatting>
        <x14:conditionalFormatting xmlns:xm="http://schemas.microsoft.com/office/excel/2006/main">
          <x14:cfRule type="iconSet" priority="17" id="{5FBEA1B6-3B06-4BE6-937D-E723762C68E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D30</xm:sqref>
        </x14:conditionalFormatting>
        <x14:conditionalFormatting xmlns:xm="http://schemas.microsoft.com/office/excel/2006/main">
          <x14:cfRule type="iconSet" priority="35" id="{26C3B460-BEDA-4B39-BB86-B48DCE6B353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D32</xm:sqref>
        </x14:conditionalFormatting>
        <x14:conditionalFormatting xmlns:xm="http://schemas.microsoft.com/office/excel/2006/main">
          <x14:cfRule type="iconSet" priority="15" id="{69120CD2-53B8-4423-A6EB-80374B5B862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D34</xm:sqref>
        </x14:conditionalFormatting>
        <x14:conditionalFormatting xmlns:xm="http://schemas.microsoft.com/office/excel/2006/main">
          <x14:cfRule type="iconSet" priority="33" id="{12895CC8-FA31-41E7-9954-E1F1E6FBEC1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D36</xm:sqref>
        </x14:conditionalFormatting>
        <x14:conditionalFormatting xmlns:xm="http://schemas.microsoft.com/office/excel/2006/main">
          <x14:cfRule type="iconSet" priority="13" id="{79B25A9A-454F-4509-A938-B37B6A1A5ED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D38</xm:sqref>
        </x14:conditionalFormatting>
        <x14:conditionalFormatting xmlns:xm="http://schemas.microsoft.com/office/excel/2006/main">
          <x14:cfRule type="iconSet" priority="31" id="{34990D77-1146-4AA7-B638-0FBE50D0B69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D40</xm:sqref>
        </x14:conditionalFormatting>
        <x14:conditionalFormatting xmlns:xm="http://schemas.microsoft.com/office/excel/2006/main">
          <x14:cfRule type="iconSet" priority="11" id="{A48515CB-7A80-4AA9-8E38-B4890E5D440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D42</xm:sqref>
        </x14:conditionalFormatting>
        <x14:conditionalFormatting xmlns:xm="http://schemas.microsoft.com/office/excel/2006/main">
          <x14:cfRule type="iconSet" priority="29" id="{8FCCD244-1F3B-4BB9-BEEF-3A431F9F6F0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D44</xm:sqref>
        </x14:conditionalFormatting>
        <x14:conditionalFormatting xmlns:xm="http://schemas.microsoft.com/office/excel/2006/main">
          <x14:cfRule type="iconSet" priority="9" id="{908393C5-B48E-4760-AEA1-26C6370A7EB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D46</xm:sqref>
        </x14:conditionalFormatting>
        <x14:conditionalFormatting xmlns:xm="http://schemas.microsoft.com/office/excel/2006/main">
          <x14:cfRule type="iconSet" priority="27" id="{FDD422D3-EE69-4128-8B14-E69A3A04D01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D48</xm:sqref>
        </x14:conditionalFormatting>
        <x14:conditionalFormatting xmlns:xm="http://schemas.microsoft.com/office/excel/2006/main">
          <x14:cfRule type="iconSet" priority="7" id="{260E4D2A-F00D-40A7-9879-B45BAC2327A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D50</xm:sqref>
        </x14:conditionalFormatting>
        <x14:conditionalFormatting xmlns:xm="http://schemas.microsoft.com/office/excel/2006/main">
          <x14:cfRule type="iconSet" priority="25" id="{FDE97E5B-8A8F-465A-BBF1-0C36AD0DC3B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D52</xm:sqref>
        </x14:conditionalFormatting>
        <x14:conditionalFormatting xmlns:xm="http://schemas.microsoft.com/office/excel/2006/main">
          <x14:cfRule type="iconSet" priority="5" id="{7DC67D57-0A49-4271-B2B6-239078D6F08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D54</xm:sqref>
        </x14:conditionalFormatting>
        <x14:conditionalFormatting xmlns:xm="http://schemas.microsoft.com/office/excel/2006/main">
          <x14:cfRule type="iconSet" priority="23" id="{A031EA53-D671-4896-B4DB-D2E30D04517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D56</xm:sqref>
        </x14:conditionalFormatting>
        <x14:conditionalFormatting xmlns:xm="http://schemas.microsoft.com/office/excel/2006/main">
          <x14:cfRule type="iconSet" priority="42" id="{D21752BD-F7AC-45FD-92A2-2F0DCB2BE7F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E18:K18</xm:sqref>
        </x14:conditionalFormatting>
        <x14:conditionalFormatting xmlns:xm="http://schemas.microsoft.com/office/excel/2006/main">
          <x14:cfRule type="iconSet" priority="40" id="{7631A665-C19B-4405-AE11-F79538B77C2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E20:K20</xm:sqref>
        </x14:conditionalFormatting>
        <x14:conditionalFormatting xmlns:xm="http://schemas.microsoft.com/office/excel/2006/main">
          <x14:cfRule type="iconSet" priority="20" id="{55D1CEC7-765B-4B91-BE0E-D7CA0C7FCBE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E22:K22</xm:sqref>
        </x14:conditionalFormatting>
        <x14:conditionalFormatting xmlns:xm="http://schemas.microsoft.com/office/excel/2006/main">
          <x14:cfRule type="iconSet" priority="38" id="{62FB27C2-670F-4914-B5E3-C87CC56C2DE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E24:K24</xm:sqref>
        </x14:conditionalFormatting>
        <x14:conditionalFormatting xmlns:xm="http://schemas.microsoft.com/office/excel/2006/main">
          <x14:cfRule type="iconSet" priority="18" id="{67A852DD-0EC6-479C-80AD-E66AAB0757A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E26:K26</xm:sqref>
        </x14:conditionalFormatting>
        <x14:conditionalFormatting xmlns:xm="http://schemas.microsoft.com/office/excel/2006/main">
          <x14:cfRule type="iconSet" priority="36" id="{AE27C637-B6C4-4F97-92BD-78569A528A3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E28:K28</xm:sqref>
        </x14:conditionalFormatting>
        <x14:conditionalFormatting xmlns:xm="http://schemas.microsoft.com/office/excel/2006/main">
          <x14:cfRule type="iconSet" priority="16" id="{8C1C5557-47F9-434A-9450-F38FA74967E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E30:K30</xm:sqref>
        </x14:conditionalFormatting>
        <x14:conditionalFormatting xmlns:xm="http://schemas.microsoft.com/office/excel/2006/main">
          <x14:cfRule type="iconSet" priority="34" id="{F2FFBD89-607B-49F6-9B2B-62F7AA2B3A9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E32:K32</xm:sqref>
        </x14:conditionalFormatting>
        <x14:conditionalFormatting xmlns:xm="http://schemas.microsoft.com/office/excel/2006/main">
          <x14:cfRule type="iconSet" priority="14" id="{E57DD56F-8F2F-4BF9-9AF8-652A8D97D9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E34:K34</xm:sqref>
        </x14:conditionalFormatting>
        <x14:conditionalFormatting xmlns:xm="http://schemas.microsoft.com/office/excel/2006/main">
          <x14:cfRule type="iconSet" priority="32" id="{F6DB1918-4E54-464A-BFEA-0065BDCC8EA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E36:K36</xm:sqref>
        </x14:conditionalFormatting>
        <x14:conditionalFormatting xmlns:xm="http://schemas.microsoft.com/office/excel/2006/main">
          <x14:cfRule type="iconSet" priority="12" id="{883051EA-12D0-4E97-B012-D3C8B2AC38F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E38:K38</xm:sqref>
        </x14:conditionalFormatting>
        <x14:conditionalFormatting xmlns:xm="http://schemas.microsoft.com/office/excel/2006/main">
          <x14:cfRule type="iconSet" priority="30" id="{809CF6FB-04BA-46A2-BCE1-641B88D76EC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E40:K40</xm:sqref>
        </x14:conditionalFormatting>
        <x14:conditionalFormatting xmlns:xm="http://schemas.microsoft.com/office/excel/2006/main">
          <x14:cfRule type="iconSet" priority="10" id="{DDC2075B-28E5-4E57-806E-1A740B2E835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E42:K42</xm:sqref>
        </x14:conditionalFormatting>
        <x14:conditionalFormatting xmlns:xm="http://schemas.microsoft.com/office/excel/2006/main">
          <x14:cfRule type="iconSet" priority="28" id="{4907ADAF-A9CA-4C5A-9390-FD047D0EF09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E44:K44</xm:sqref>
        </x14:conditionalFormatting>
        <x14:conditionalFormatting xmlns:xm="http://schemas.microsoft.com/office/excel/2006/main">
          <x14:cfRule type="iconSet" priority="8" id="{79258554-067F-4A7D-B66B-7E2604A8A18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E46:K46</xm:sqref>
        </x14:conditionalFormatting>
        <x14:conditionalFormatting xmlns:xm="http://schemas.microsoft.com/office/excel/2006/main">
          <x14:cfRule type="iconSet" priority="26" id="{4DF6C3CD-2B6A-463E-827A-8DD6DB1336A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E48:K48</xm:sqref>
        </x14:conditionalFormatting>
        <x14:conditionalFormatting xmlns:xm="http://schemas.microsoft.com/office/excel/2006/main">
          <x14:cfRule type="iconSet" priority="6" id="{3D5D39E6-CE9E-4763-AE41-286DC97E1A7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E50:K50</xm:sqref>
        </x14:conditionalFormatting>
        <x14:conditionalFormatting xmlns:xm="http://schemas.microsoft.com/office/excel/2006/main">
          <x14:cfRule type="iconSet" priority="24" id="{AD28D679-60D7-4435-870D-1B8692B13E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E52:K52</xm:sqref>
        </x14:conditionalFormatting>
        <x14:conditionalFormatting xmlns:xm="http://schemas.microsoft.com/office/excel/2006/main">
          <x14:cfRule type="iconSet" priority="4" id="{C0C5BC6F-B155-4938-ADB9-5F9591801B9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E54:K54</xm:sqref>
        </x14:conditionalFormatting>
        <x14:conditionalFormatting xmlns:xm="http://schemas.microsoft.com/office/excel/2006/main">
          <x14:cfRule type="iconSet" priority="22" id="{13B5F1CB-664E-4895-A1C5-CE8903929BE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E56:K56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3E0DF-F15C-47A2-A84E-13B35756FDF8}">
  <dimension ref="A1:L63"/>
  <sheetViews>
    <sheetView showGridLines="0" showRowColHeaders="0" workbookViewId="0">
      <selection activeCell="G3" sqref="G3:H3"/>
    </sheetView>
  </sheetViews>
  <sheetFormatPr baseColWidth="10" defaultColWidth="0" defaultRowHeight="12.75" zeroHeight="1" x14ac:dyDescent="0.2"/>
  <cols>
    <col min="1" max="1" width="2.7109375" style="101" customWidth="1"/>
    <col min="2" max="2" width="3.7109375" style="101" customWidth="1"/>
    <col min="3" max="3" width="6.7109375" style="140" customWidth="1"/>
    <col min="4" max="10" width="10.28515625" style="140" customWidth="1"/>
    <col min="11" max="11" width="10.28515625" style="101" customWidth="1"/>
    <col min="12" max="12" width="2.7109375" style="101" customWidth="1"/>
    <col min="13" max="16384" width="11.42578125" style="101" hidden="1"/>
  </cols>
  <sheetData>
    <row r="1" spans="2:12" x14ac:dyDescent="0.2"/>
    <row r="2" spans="2:12" ht="15" x14ac:dyDescent="0.25">
      <c r="B2"/>
      <c r="C2" s="101"/>
      <c r="D2" s="481" t="s">
        <v>936</v>
      </c>
      <c r="E2" s="481"/>
      <c r="F2" s="283" t="s">
        <v>938</v>
      </c>
    </row>
    <row r="3" spans="2:12" ht="23.25" x14ac:dyDescent="0.35">
      <c r="B3" s="453" t="s">
        <v>933</v>
      </c>
      <c r="C3" s="453"/>
      <c r="D3" s="480">
        <v>75</v>
      </c>
      <c r="E3" s="480"/>
      <c r="F3" s="432">
        <v>2</v>
      </c>
    </row>
    <row r="4" spans="2:12" ht="23.25" x14ac:dyDescent="0.35">
      <c r="B4" s="453" t="s">
        <v>934</v>
      </c>
      <c r="C4" s="453"/>
      <c r="D4" s="480">
        <v>65</v>
      </c>
      <c r="E4" s="480"/>
      <c r="F4" s="432"/>
      <c r="H4" s="287" t="str">
        <f>IF(OR((D3-D4)&lt;3,(D4-D5)&lt;3,(D3-D4)&gt;25,D5&lt;15,ISERROR(D17)),"Bitte überprüfen Sie ihre Eingaben!","")</f>
        <v/>
      </c>
    </row>
    <row r="5" spans="2:12" ht="23.25" x14ac:dyDescent="0.35">
      <c r="B5" s="453" t="s">
        <v>935</v>
      </c>
      <c r="C5" s="453"/>
      <c r="D5" s="480">
        <v>20</v>
      </c>
      <c r="E5" s="480"/>
      <c r="F5" s="432"/>
    </row>
    <row r="6" spans="2:12" x14ac:dyDescent="0.2"/>
    <row r="7" spans="2:12" ht="25.5" customHeight="1" x14ac:dyDescent="0.4">
      <c r="B7" s="271" t="str">
        <f>VLOOKUP(63,TXT,$F$3,0)</f>
        <v>Bodenkonvektor Modell LIB-200  POWER+</v>
      </c>
      <c r="C7" s="272"/>
      <c r="D7" s="272"/>
      <c r="E7" s="272"/>
      <c r="F7" s="272"/>
      <c r="G7" s="272"/>
      <c r="H7" s="272"/>
      <c r="I7" s="272"/>
      <c r="J7" s="272"/>
      <c r="K7" s="272"/>
      <c r="L7" s="170"/>
    </row>
    <row r="8" spans="2:12" ht="17.25" customHeight="1" x14ac:dyDescent="0.4">
      <c r="B8" s="273" t="str">
        <f>VLOOKUP(47,TXT,$F$3,0)</f>
        <v>für freie Konvektion</v>
      </c>
      <c r="C8" s="273"/>
      <c r="D8" s="273"/>
      <c r="E8" s="273"/>
      <c r="F8" s="273"/>
      <c r="G8" s="273"/>
      <c r="H8" s="273"/>
      <c r="I8" s="273"/>
      <c r="J8" s="273"/>
      <c r="K8" s="273"/>
      <c r="L8" s="170"/>
    </row>
    <row r="9" spans="2:12" x14ac:dyDescent="0.2"/>
    <row r="10" spans="2:12" ht="23.25" x14ac:dyDescent="0.2">
      <c r="B10" s="487" t="str">
        <f>VLOOKUP(10,TXT,$F$3,0)</f>
        <v>Heizmedium</v>
      </c>
      <c r="C10" s="487"/>
      <c r="D10" s="487"/>
      <c r="E10" s="488" t="str">
        <f>CONCATENATE(D3,"° / ",D4," °C")</f>
        <v>75° / 65 °C</v>
      </c>
      <c r="F10" s="488"/>
      <c r="G10" s="488"/>
      <c r="H10" s="489">
        <f>SUM(D5)</f>
        <v>20</v>
      </c>
      <c r="I10" s="489"/>
      <c r="J10" s="490"/>
      <c r="K10" s="490"/>
    </row>
    <row r="11" spans="2:12" x14ac:dyDescent="0.2"/>
    <row r="12" spans="2:12" ht="17.25" customHeight="1" x14ac:dyDescent="0.25">
      <c r="B12" s="491" t="str">
        <f>VLOOKUP(9,TXT,$F$3,0)</f>
        <v>Modell</v>
      </c>
      <c r="C12" s="491"/>
      <c r="D12" s="264" t="s">
        <v>1397</v>
      </c>
      <c r="E12" s="264" t="s">
        <v>1387</v>
      </c>
      <c r="F12" s="264" t="s">
        <v>1388</v>
      </c>
      <c r="G12" s="264" t="s">
        <v>1389</v>
      </c>
      <c r="H12" s="264" t="s">
        <v>1390</v>
      </c>
      <c r="I12" s="264" t="s">
        <v>1391</v>
      </c>
      <c r="J12" s="264" t="s">
        <v>1392</v>
      </c>
      <c r="K12" s="264" t="s">
        <v>1393</v>
      </c>
    </row>
    <row r="13" spans="2:12" x14ac:dyDescent="0.2">
      <c r="B13" s="492" t="s">
        <v>1351</v>
      </c>
      <c r="C13" s="492"/>
      <c r="D13" s="274">
        <v>144</v>
      </c>
      <c r="E13" s="274">
        <v>176</v>
      </c>
      <c r="F13" s="274">
        <v>224</v>
      </c>
      <c r="G13" s="274">
        <v>240</v>
      </c>
      <c r="H13" s="274">
        <v>272</v>
      </c>
      <c r="I13" s="274">
        <v>304</v>
      </c>
      <c r="J13" s="274">
        <v>336</v>
      </c>
      <c r="K13" s="274">
        <v>368</v>
      </c>
    </row>
    <row r="14" spans="2:12" x14ac:dyDescent="0.2">
      <c r="B14" s="492" t="s">
        <v>1352</v>
      </c>
      <c r="C14" s="492"/>
      <c r="D14" s="274">
        <v>200</v>
      </c>
      <c r="E14" s="274">
        <v>200</v>
      </c>
      <c r="F14" s="274">
        <v>200</v>
      </c>
      <c r="G14" s="274">
        <v>200</v>
      </c>
      <c r="H14" s="274">
        <v>200</v>
      </c>
      <c r="I14" s="274">
        <v>200</v>
      </c>
      <c r="J14" s="274">
        <v>200</v>
      </c>
      <c r="K14" s="274">
        <v>200</v>
      </c>
    </row>
    <row r="15" spans="2:12" x14ac:dyDescent="0.2">
      <c r="B15" s="266"/>
      <c r="C15" s="266"/>
      <c r="D15" s="274" t="s">
        <v>1398</v>
      </c>
      <c r="E15" s="274" t="s">
        <v>1398</v>
      </c>
      <c r="F15" s="274" t="s">
        <v>1399</v>
      </c>
      <c r="G15" s="274" t="s">
        <v>1399</v>
      </c>
      <c r="H15" s="274" t="s">
        <v>1400</v>
      </c>
      <c r="I15" s="274" t="s">
        <v>1400</v>
      </c>
      <c r="J15" s="274" t="s">
        <v>1401</v>
      </c>
      <c r="K15" s="274" t="s">
        <v>1401</v>
      </c>
    </row>
    <row r="16" spans="2:12" ht="18.75" customHeight="1" x14ac:dyDescent="0.2">
      <c r="B16" s="492" t="s">
        <v>1356</v>
      </c>
      <c r="C16" s="492"/>
      <c r="D16" s="493" t="str">
        <f>VLOOKUP(13,TXT,$F$3,0)</f>
        <v>Leistungen [W]</v>
      </c>
      <c r="E16" s="485"/>
      <c r="F16" s="485"/>
      <c r="G16" s="485"/>
      <c r="H16" s="485" t="str">
        <f>VLOOKUP(45,TXT,$F$3,0)</f>
        <v>Wassermassenstrom [kg/h] *</v>
      </c>
      <c r="I16" s="485"/>
      <c r="J16" s="485"/>
      <c r="K16" s="486"/>
    </row>
    <row r="17" spans="2:11" ht="12.75" customHeight="1" x14ac:dyDescent="0.2">
      <c r="B17" s="484">
        <v>750</v>
      </c>
      <c r="C17" s="484"/>
      <c r="D17" s="188">
        <f>ROUND('BASE-C200POWER'!B2*(VLOOKUP(ROUND(((($D$3+$D$4)/2)-$D$5),3),FAKT_C109,2,-1)),0)</f>
        <v>103</v>
      </c>
      <c r="E17" s="175">
        <f>ROUND('BASE-C200POWER'!C2*(VLOOKUP(ROUND(((($D$3+$D$4)/2)-$D$5),3),FAKT_C109,2,-1)),0)</f>
        <v>124</v>
      </c>
      <c r="F17" s="175">
        <f>ROUND('BASE-C200POWER'!D2*(VLOOKUP(ROUND(((($D$3+$D$4)/2)-$D$5),3),FAKT_C109,2,-1)),0)</f>
        <v>251</v>
      </c>
      <c r="G17" s="175">
        <f>ROUND('BASE-C200POWER'!E2*(VLOOKUP(ROUND(((($D$3+$D$4)/2)-$D$5),3),FAKT_C109,2,-1)),0)</f>
        <v>259</v>
      </c>
      <c r="H17" s="175">
        <f>ROUND('BASE-C200POWER'!F2*(VLOOKUP(ROUND(((($D$3+$D$4)/2)-$D$5),3),FAKT_C109,2,-1)),0)</f>
        <v>319</v>
      </c>
      <c r="I17" s="175">
        <f>ROUND('BASE-C200POWER'!G2*(VLOOKUP(ROUND(((($D$3+$D$4)/2)-$D$5),3),FAKT_C109,2,-1)),0)</f>
        <v>340</v>
      </c>
      <c r="J17" s="175">
        <f>ROUND('BASE-C200POWER'!H2*(VLOOKUP(ROUND(((($D$3+$D$4)/2)-$D$5),3),FAKT_C109,2,-1)),0)</f>
        <v>399</v>
      </c>
      <c r="K17" s="176">
        <f>ROUND('BASE-C200POWER'!I2*(VLOOKUP(ROUND(((($D$3+$D$4)/2)-$D$5),3),FAKT_C109,2,-1)),0)</f>
        <v>458</v>
      </c>
    </row>
    <row r="18" spans="2:11" ht="12.75" customHeight="1" x14ac:dyDescent="0.2">
      <c r="B18" s="484"/>
      <c r="C18" s="484"/>
      <c r="D18" s="189">
        <f t="shared" ref="D18:K18" si="0">ROUNDDOWN(D17/(1.161*($D$3-$D$4)),0)</f>
        <v>8</v>
      </c>
      <c r="E18" s="177">
        <f t="shared" si="0"/>
        <v>10</v>
      </c>
      <c r="F18" s="177">
        <f t="shared" si="0"/>
        <v>21</v>
      </c>
      <c r="G18" s="177">
        <f t="shared" si="0"/>
        <v>22</v>
      </c>
      <c r="H18" s="177">
        <f t="shared" si="0"/>
        <v>27</v>
      </c>
      <c r="I18" s="177">
        <f t="shared" si="0"/>
        <v>29</v>
      </c>
      <c r="J18" s="177">
        <f t="shared" si="0"/>
        <v>34</v>
      </c>
      <c r="K18" s="178">
        <f t="shared" si="0"/>
        <v>39</v>
      </c>
    </row>
    <row r="19" spans="2:11" ht="12.75" customHeight="1" x14ac:dyDescent="0.2">
      <c r="B19" s="483">
        <v>850</v>
      </c>
      <c r="C19" s="483">
        <v>1000</v>
      </c>
      <c r="D19" s="275">
        <f>ROUND('BASE-C200POWER'!B3*(VLOOKUP(ROUND(((($D$3+$D$4)/2)-$D$5),3),FAKT_C109,2,-1)),0)</f>
        <v>129</v>
      </c>
      <c r="E19" s="267">
        <f>ROUND('BASE-C200POWER'!C3*(VLOOKUP(ROUND(((($D$3+$D$4)/2)-$D$5),3),FAKT_C109,2,-1)),0)</f>
        <v>156</v>
      </c>
      <c r="F19" s="267">
        <f>ROUND('BASE-C200POWER'!D3*(VLOOKUP(ROUND(((($D$3+$D$4)/2)-$D$5),3),FAKT_C109,2,-1)),0)</f>
        <v>314</v>
      </c>
      <c r="G19" s="267">
        <f>ROUND('BASE-C200POWER'!E3*(VLOOKUP(ROUND(((($D$3+$D$4)/2)-$D$5),3),FAKT_C109,2,-1)),0)</f>
        <v>324</v>
      </c>
      <c r="H19" s="267">
        <f>ROUND('BASE-C200POWER'!F3*(VLOOKUP(ROUND(((($D$3+$D$4)/2)-$D$5),3),FAKT_C109,2,-1)),0)</f>
        <v>399</v>
      </c>
      <c r="I19" s="267">
        <f>ROUND('BASE-C200POWER'!G3*(VLOOKUP(ROUND(((($D$3+$D$4)/2)-$D$5),3),FAKT_C109,2,-1)),0)</f>
        <v>426</v>
      </c>
      <c r="J19" s="267">
        <f>ROUND('BASE-C200POWER'!H3*(VLOOKUP(ROUND(((($D$3+$D$4)/2)-$D$5),3),FAKT_C109,2,-1)),0)</f>
        <v>498</v>
      </c>
      <c r="K19" s="268">
        <f>ROUND('BASE-C200POWER'!I3*(VLOOKUP(ROUND(((($D$3+$D$4)/2)-$D$5),3),FAKT_C109,2,-1)),0)</f>
        <v>572</v>
      </c>
    </row>
    <row r="20" spans="2:11" ht="12.75" customHeight="1" x14ac:dyDescent="0.2">
      <c r="B20" s="483"/>
      <c r="C20" s="483"/>
      <c r="D20" s="276">
        <f t="shared" ref="D20:K20" si="1">ROUNDDOWN(D19/(1.161*($D$3-$D$4)),0)</f>
        <v>11</v>
      </c>
      <c r="E20" s="269">
        <f t="shared" si="1"/>
        <v>13</v>
      </c>
      <c r="F20" s="269">
        <f t="shared" si="1"/>
        <v>27</v>
      </c>
      <c r="G20" s="269">
        <f t="shared" si="1"/>
        <v>27</v>
      </c>
      <c r="H20" s="269">
        <f t="shared" si="1"/>
        <v>34</v>
      </c>
      <c r="I20" s="269">
        <f t="shared" si="1"/>
        <v>36</v>
      </c>
      <c r="J20" s="269">
        <f t="shared" si="1"/>
        <v>42</v>
      </c>
      <c r="K20" s="270">
        <f t="shared" si="1"/>
        <v>49</v>
      </c>
    </row>
    <row r="21" spans="2:11" ht="12.75" customHeight="1" x14ac:dyDescent="0.2">
      <c r="B21" s="482">
        <v>950</v>
      </c>
      <c r="C21" s="482"/>
      <c r="D21" s="188">
        <f>ROUND('BASE-C200POWER'!B4*(VLOOKUP(ROUND(((($D$3+$D$4)/2)-$D$5),3),FAKT_C109,2,-1)),0)</f>
        <v>155</v>
      </c>
      <c r="E21" s="175">
        <f>ROUND('BASE-C200POWER'!C4*(VLOOKUP(ROUND(((($D$3+$D$4)/2)-$D$5),3),FAKT_C109,2,-1)),0)</f>
        <v>187</v>
      </c>
      <c r="F21" s="175">
        <f>ROUND('BASE-C200POWER'!D4*(VLOOKUP(ROUND(((($D$3+$D$4)/2)-$D$5),3),FAKT_C109,2,-1)),0)</f>
        <v>377</v>
      </c>
      <c r="G21" s="175">
        <f>ROUND('BASE-C200POWER'!E4*(VLOOKUP(ROUND(((($D$3+$D$4)/2)-$D$5),3),FAKT_C109,2,-1)),0)</f>
        <v>389</v>
      </c>
      <c r="H21" s="175">
        <f>ROUND('BASE-C200POWER'!F4*(VLOOKUP(ROUND(((($D$3+$D$4)/2)-$D$5),3),FAKT_C109,2,-1)),0)</f>
        <v>480</v>
      </c>
      <c r="I21" s="175">
        <f>ROUND('BASE-C200POWER'!G4*(VLOOKUP(ROUND(((($D$3+$D$4)/2)-$D$5),3),FAKT_C109,2,-1)),0)</f>
        <v>511</v>
      </c>
      <c r="J21" s="175">
        <f>ROUND('BASE-C200POWER'!H4*(VLOOKUP(ROUND(((($D$3+$D$4)/2)-$D$5),3),FAKT_C109,2,-1)),0)</f>
        <v>597</v>
      </c>
      <c r="K21" s="176">
        <f>ROUND('BASE-C200POWER'!I4*(VLOOKUP(ROUND(((($D$3+$D$4)/2)-$D$5),3),FAKT_C109,2,-1)),0)</f>
        <v>685</v>
      </c>
    </row>
    <row r="22" spans="2:11" ht="12.75" customHeight="1" x14ac:dyDescent="0.2">
      <c r="B22" s="482"/>
      <c r="C22" s="482"/>
      <c r="D22" s="189">
        <f t="shared" ref="D22:K22" si="2">ROUNDDOWN(D21/(1.161*($D$3-$D$4)),0)</f>
        <v>13</v>
      </c>
      <c r="E22" s="177">
        <f t="shared" si="2"/>
        <v>16</v>
      </c>
      <c r="F22" s="177">
        <f t="shared" si="2"/>
        <v>32</v>
      </c>
      <c r="G22" s="177">
        <f t="shared" si="2"/>
        <v>33</v>
      </c>
      <c r="H22" s="177">
        <f t="shared" si="2"/>
        <v>41</v>
      </c>
      <c r="I22" s="177">
        <f t="shared" si="2"/>
        <v>44</v>
      </c>
      <c r="J22" s="177">
        <f t="shared" si="2"/>
        <v>51</v>
      </c>
      <c r="K22" s="178">
        <f t="shared" si="2"/>
        <v>59</v>
      </c>
    </row>
    <row r="23" spans="2:11" ht="12.75" customHeight="1" x14ac:dyDescent="0.2">
      <c r="B23" s="483">
        <v>1050</v>
      </c>
      <c r="C23" s="483"/>
      <c r="D23" s="275">
        <f>ROUND('BASE-C200POWER'!B5*(VLOOKUP(ROUND(((($D$3+$D$4)/2)-$D$5),3),FAKT_C109,2,-1)),0)</f>
        <v>181</v>
      </c>
      <c r="E23" s="267">
        <f>ROUND('BASE-C200POWER'!C5*(VLOOKUP(ROUND(((($D$3+$D$4)/2)-$D$5),3),FAKT_C109,2,-1)),0)</f>
        <v>218</v>
      </c>
      <c r="F23" s="267">
        <f>ROUND('BASE-C200POWER'!D5*(VLOOKUP(ROUND(((($D$3+$D$4)/2)-$D$5),3),FAKT_C109,2,-1)),0)</f>
        <v>440</v>
      </c>
      <c r="G23" s="267">
        <f>ROUND('BASE-C200POWER'!E5*(VLOOKUP(ROUND(((($D$3+$D$4)/2)-$D$5),3),FAKT_C109,2,-1)),0)</f>
        <v>454</v>
      </c>
      <c r="H23" s="267">
        <f>ROUND('BASE-C200POWER'!F5*(VLOOKUP(ROUND(((($D$3+$D$4)/2)-$D$5),3),FAKT_C109,2,-1)),0)</f>
        <v>560</v>
      </c>
      <c r="I23" s="267">
        <f>ROUND('BASE-C200POWER'!G5*(VLOOKUP(ROUND(((($D$3+$D$4)/2)-$D$5),3),FAKT_C109,2,-1)),0)</f>
        <v>597</v>
      </c>
      <c r="J23" s="267">
        <f>ROUND('BASE-C200POWER'!H5*(VLOOKUP(ROUND(((($D$3+$D$4)/2)-$D$5),3),FAKT_C109,2,-1)),0)</f>
        <v>697</v>
      </c>
      <c r="K23" s="268">
        <f>ROUND('BASE-C200POWER'!I5*(VLOOKUP(ROUND(((($D$3+$D$4)/2)-$D$5),3),FAKT_C109,2,-1)),0)</f>
        <v>800</v>
      </c>
    </row>
    <row r="24" spans="2:11" ht="12.75" customHeight="1" x14ac:dyDescent="0.2">
      <c r="B24" s="483"/>
      <c r="C24" s="483"/>
      <c r="D24" s="276">
        <f t="shared" ref="D24:K24" si="3">ROUNDDOWN(D23/(1.161*($D$3-$D$4)),0)</f>
        <v>15</v>
      </c>
      <c r="E24" s="269">
        <f t="shared" si="3"/>
        <v>18</v>
      </c>
      <c r="F24" s="269">
        <f t="shared" si="3"/>
        <v>37</v>
      </c>
      <c r="G24" s="269">
        <f t="shared" si="3"/>
        <v>39</v>
      </c>
      <c r="H24" s="269">
        <f t="shared" si="3"/>
        <v>48</v>
      </c>
      <c r="I24" s="269">
        <f t="shared" si="3"/>
        <v>51</v>
      </c>
      <c r="J24" s="269">
        <f t="shared" si="3"/>
        <v>60</v>
      </c>
      <c r="K24" s="270">
        <f t="shared" si="3"/>
        <v>68</v>
      </c>
    </row>
    <row r="25" spans="2:11" ht="12.75" customHeight="1" x14ac:dyDescent="0.2">
      <c r="B25" s="482">
        <v>1150</v>
      </c>
      <c r="C25" s="482"/>
      <c r="D25" s="188">
        <f>ROUND('BASE-C200POWER'!B6*(VLOOKUP(ROUND(((($D$3+$D$4)/2)-$D$5),3),FAKT_C109,2,-1)),0)</f>
        <v>206</v>
      </c>
      <c r="E25" s="175">
        <f>ROUND('BASE-C200POWER'!C6*(VLOOKUP(ROUND(((($D$3+$D$4)/2)-$D$5),3),FAKT_C109,2,-1)),0)</f>
        <v>249</v>
      </c>
      <c r="F25" s="175">
        <f>ROUND('BASE-C200POWER'!D6*(VLOOKUP(ROUND(((($D$3+$D$4)/2)-$D$5),3),FAKT_C109,2,-1)),0)</f>
        <v>503</v>
      </c>
      <c r="G25" s="175">
        <f>ROUND('BASE-C200POWER'!E6*(VLOOKUP(ROUND(((($D$3+$D$4)/2)-$D$5),3),FAKT_C109,2,-1)),0)</f>
        <v>518</v>
      </c>
      <c r="H25" s="175">
        <f>ROUND('BASE-C200POWER'!F6*(VLOOKUP(ROUND(((($D$3+$D$4)/2)-$D$5),3),FAKT_C109,2,-1)),0)</f>
        <v>639</v>
      </c>
      <c r="I25" s="175">
        <f>ROUND('BASE-C200POWER'!G6*(VLOOKUP(ROUND(((($D$3+$D$4)/2)-$D$5),3),FAKT_C109,2,-1)),0)</f>
        <v>681</v>
      </c>
      <c r="J25" s="175">
        <f>ROUND('BASE-C200POWER'!H6*(VLOOKUP(ROUND(((($D$3+$D$4)/2)-$D$5),3),FAKT_C109,2,-1)),0)</f>
        <v>796</v>
      </c>
      <c r="K25" s="176">
        <f>ROUND('BASE-C200POWER'!I6*(VLOOKUP(ROUND(((($D$3+$D$4)/2)-$D$5),3),FAKT_C109,2,-1)),0)</f>
        <v>914</v>
      </c>
    </row>
    <row r="26" spans="2:11" ht="12.75" customHeight="1" x14ac:dyDescent="0.2">
      <c r="B26" s="482"/>
      <c r="C26" s="482"/>
      <c r="D26" s="189">
        <f t="shared" ref="D26:K26" si="4">ROUNDDOWN(D25/(1.161*($D$3-$D$4)),0)</f>
        <v>17</v>
      </c>
      <c r="E26" s="177">
        <f t="shared" si="4"/>
        <v>21</v>
      </c>
      <c r="F26" s="177">
        <f t="shared" si="4"/>
        <v>43</v>
      </c>
      <c r="G26" s="177">
        <f t="shared" si="4"/>
        <v>44</v>
      </c>
      <c r="H26" s="177">
        <f t="shared" si="4"/>
        <v>55</v>
      </c>
      <c r="I26" s="177">
        <f t="shared" si="4"/>
        <v>58</v>
      </c>
      <c r="J26" s="177">
        <f t="shared" si="4"/>
        <v>68</v>
      </c>
      <c r="K26" s="178">
        <f t="shared" si="4"/>
        <v>78</v>
      </c>
    </row>
    <row r="27" spans="2:11" ht="12.75" customHeight="1" x14ac:dyDescent="0.2">
      <c r="B27" s="483">
        <v>1250</v>
      </c>
      <c r="C27" s="483"/>
      <c r="D27" s="275">
        <f>ROUND('BASE-C200POWER'!B7*(VLOOKUP(ROUND(((($D$3+$D$4)/2)-$D$5),3),FAKT_C109,2,-1)),0)</f>
        <v>232</v>
      </c>
      <c r="E27" s="267">
        <f>ROUND('BASE-C200POWER'!C7*(VLOOKUP(ROUND(((($D$3+$D$4)/2)-$D$5),3),FAKT_C109,2,-1)),0)</f>
        <v>280</v>
      </c>
      <c r="F27" s="267">
        <f>ROUND('BASE-C200POWER'!D7*(VLOOKUP(ROUND(((($D$3+$D$4)/2)-$D$5),3),FAKT_C109,2,-1)),0)</f>
        <v>565</v>
      </c>
      <c r="G27" s="267">
        <f>ROUND('BASE-C200POWER'!E7*(VLOOKUP(ROUND(((($D$3+$D$4)/2)-$D$5),3),FAKT_C109,2,-1)),0)</f>
        <v>583</v>
      </c>
      <c r="H27" s="267">
        <f>ROUND('BASE-C200POWER'!F7*(VLOOKUP(ROUND(((($D$3+$D$4)/2)-$D$5),3),FAKT_C109,2,-1)),0)</f>
        <v>719</v>
      </c>
      <c r="I27" s="267">
        <f>ROUND('BASE-C200POWER'!G7*(VLOOKUP(ROUND(((($D$3+$D$4)/2)-$D$5),3),FAKT_C109,2,-1)),0)</f>
        <v>766</v>
      </c>
      <c r="J27" s="267">
        <f>ROUND('BASE-C200POWER'!H7*(VLOOKUP(ROUND(((($D$3+$D$4)/2)-$D$5),3),FAKT_C109,2,-1)),0)</f>
        <v>896</v>
      </c>
      <c r="K27" s="268">
        <f>ROUND('BASE-C200POWER'!I7*(VLOOKUP(ROUND(((($D$3+$D$4)/2)-$D$5),3),FAKT_C109,2,-1)),0)</f>
        <v>1029</v>
      </c>
    </row>
    <row r="28" spans="2:11" ht="12.75" customHeight="1" x14ac:dyDescent="0.2">
      <c r="B28" s="483"/>
      <c r="C28" s="483"/>
      <c r="D28" s="276">
        <f t="shared" ref="D28:K28" si="5">ROUNDDOWN(D27/(1.161*($D$3-$D$4)),0)</f>
        <v>19</v>
      </c>
      <c r="E28" s="269">
        <f t="shared" si="5"/>
        <v>24</v>
      </c>
      <c r="F28" s="269">
        <f t="shared" si="5"/>
        <v>48</v>
      </c>
      <c r="G28" s="269">
        <f t="shared" si="5"/>
        <v>50</v>
      </c>
      <c r="H28" s="269">
        <f t="shared" si="5"/>
        <v>61</v>
      </c>
      <c r="I28" s="269">
        <f t="shared" si="5"/>
        <v>65</v>
      </c>
      <c r="J28" s="269">
        <f t="shared" si="5"/>
        <v>77</v>
      </c>
      <c r="K28" s="270">
        <f t="shared" si="5"/>
        <v>88</v>
      </c>
    </row>
    <row r="29" spans="2:11" ht="12.75" customHeight="1" x14ac:dyDescent="0.2">
      <c r="B29" s="482">
        <v>1350</v>
      </c>
      <c r="C29" s="482"/>
      <c r="D29" s="188">
        <f>ROUND('BASE-C200POWER'!B8*(VLOOKUP(ROUND(((($D$3+$D$4)/2)-$D$5),3),FAKT_C109,2,-1)),0)</f>
        <v>258</v>
      </c>
      <c r="E29" s="175">
        <f>ROUND('BASE-C200POWER'!C8*(VLOOKUP(ROUND(((($D$3+$D$4)/2)-$D$5),3),FAKT_C109,2,-1)),0)</f>
        <v>311</v>
      </c>
      <c r="F29" s="175">
        <f>ROUND('BASE-C200POWER'!D8*(VLOOKUP(ROUND(((($D$3+$D$4)/2)-$D$5),3),FAKT_C109,2,-1)),0)</f>
        <v>628</v>
      </c>
      <c r="G29" s="175">
        <f>ROUND('BASE-C200POWER'!E8*(VLOOKUP(ROUND(((($D$3+$D$4)/2)-$D$5),3),FAKT_C109,2,-1)),0)</f>
        <v>648</v>
      </c>
      <c r="H29" s="175">
        <f>ROUND('BASE-C200POWER'!F8*(VLOOKUP(ROUND(((($D$3+$D$4)/2)-$D$5),3),FAKT_C109,2,-1)),0)</f>
        <v>799</v>
      </c>
      <c r="I29" s="175">
        <f>ROUND('BASE-C200POWER'!G8*(VLOOKUP(ROUND(((($D$3+$D$4)/2)-$D$5),3),FAKT_C109,2,-1)),0)</f>
        <v>852</v>
      </c>
      <c r="J29" s="175">
        <f>ROUND('BASE-C200POWER'!H8*(VLOOKUP(ROUND(((($D$3+$D$4)/2)-$D$5),3),FAKT_C109,2,-1)),0)</f>
        <v>993</v>
      </c>
      <c r="K29" s="176">
        <f>ROUND('BASE-C200POWER'!I8*(VLOOKUP(ROUND(((($D$3+$D$4)/2)-$D$5),3),FAKT_C109,2,-1)),0)</f>
        <v>1140</v>
      </c>
    </row>
    <row r="30" spans="2:11" ht="12.75" customHeight="1" x14ac:dyDescent="0.2">
      <c r="B30" s="482"/>
      <c r="C30" s="482"/>
      <c r="D30" s="189">
        <f t="shared" ref="D30:K30" si="6">ROUNDDOWN(D29/(1.161*($D$3-$D$4)),0)</f>
        <v>22</v>
      </c>
      <c r="E30" s="177">
        <f t="shared" si="6"/>
        <v>26</v>
      </c>
      <c r="F30" s="177">
        <f t="shared" si="6"/>
        <v>54</v>
      </c>
      <c r="G30" s="177">
        <f t="shared" si="6"/>
        <v>55</v>
      </c>
      <c r="H30" s="177">
        <f t="shared" si="6"/>
        <v>68</v>
      </c>
      <c r="I30" s="177">
        <f t="shared" si="6"/>
        <v>73</v>
      </c>
      <c r="J30" s="177">
        <f t="shared" si="6"/>
        <v>85</v>
      </c>
      <c r="K30" s="178">
        <f t="shared" si="6"/>
        <v>98</v>
      </c>
    </row>
    <row r="31" spans="2:11" ht="12.75" customHeight="1" x14ac:dyDescent="0.2">
      <c r="B31" s="483">
        <v>1550</v>
      </c>
      <c r="C31" s="483"/>
      <c r="D31" s="275">
        <f>ROUND('BASE-C200POWER'!B9*(VLOOKUP(ROUND(((($D$3+$D$4)/2)-$D$5),3),FAKT_C109,2,-1)),0)</f>
        <v>309</v>
      </c>
      <c r="E31" s="267">
        <f>ROUND('BASE-C200POWER'!C9*(VLOOKUP(ROUND(((($D$3+$D$4)/2)-$D$5),3),FAKT_C109,2,-1)),0)</f>
        <v>373</v>
      </c>
      <c r="F31" s="267">
        <f>ROUND('BASE-C200POWER'!D9*(VLOOKUP(ROUND(((($D$3+$D$4)/2)-$D$5),3),FAKT_C109,2,-1)),0)</f>
        <v>753</v>
      </c>
      <c r="G31" s="267">
        <f>ROUND('BASE-C200POWER'!E9*(VLOOKUP(ROUND(((($D$3+$D$4)/2)-$D$5),3),FAKT_C109,2,-1)),0)</f>
        <v>777</v>
      </c>
      <c r="H31" s="267">
        <f>ROUND('BASE-C200POWER'!F9*(VLOOKUP(ROUND(((($D$3+$D$4)/2)-$D$5),3),FAKT_C109,2,-1)),0)</f>
        <v>959</v>
      </c>
      <c r="I31" s="267">
        <f>ROUND('BASE-C200POWER'!G9*(VLOOKUP(ROUND(((($D$3+$D$4)/2)-$D$5),3),FAKT_C109,2,-1)),0)</f>
        <v>1022</v>
      </c>
      <c r="J31" s="267">
        <f>ROUND('BASE-C200POWER'!H9*(VLOOKUP(ROUND(((($D$3+$D$4)/2)-$D$5),3),FAKT_C109,2,-1)),0)</f>
        <v>1195</v>
      </c>
      <c r="K31" s="268">
        <f>ROUND('BASE-C200POWER'!I9*(VLOOKUP(ROUND(((($D$3+$D$4)/2)-$D$5),3),FAKT_C109,2,-1)),0)</f>
        <v>1372</v>
      </c>
    </row>
    <row r="32" spans="2:11" ht="12.75" customHeight="1" x14ac:dyDescent="0.2">
      <c r="B32" s="483"/>
      <c r="C32" s="483"/>
      <c r="D32" s="276">
        <f t="shared" ref="D32:K32" si="7">ROUNDDOWN(D31/(1.161*($D$3-$D$4)),0)</f>
        <v>26</v>
      </c>
      <c r="E32" s="269">
        <f t="shared" si="7"/>
        <v>32</v>
      </c>
      <c r="F32" s="269">
        <f t="shared" si="7"/>
        <v>64</v>
      </c>
      <c r="G32" s="269">
        <f t="shared" si="7"/>
        <v>66</v>
      </c>
      <c r="H32" s="269">
        <f t="shared" si="7"/>
        <v>82</v>
      </c>
      <c r="I32" s="269">
        <f t="shared" si="7"/>
        <v>88</v>
      </c>
      <c r="J32" s="269">
        <f t="shared" si="7"/>
        <v>102</v>
      </c>
      <c r="K32" s="270">
        <f t="shared" si="7"/>
        <v>118</v>
      </c>
    </row>
    <row r="33" spans="2:11" ht="12.75" customHeight="1" x14ac:dyDescent="0.2">
      <c r="B33" s="482">
        <v>1750</v>
      </c>
      <c r="C33" s="482"/>
      <c r="D33" s="188">
        <f>ROUND('BASE-C200POWER'!B10*(VLOOKUP(ROUND(((($D$3+$D$4)/2)-$D$5),3),FAKT_C109,2,-1)),0)</f>
        <v>361</v>
      </c>
      <c r="E33" s="175">
        <f>ROUND('BASE-C200POWER'!C10*(VLOOKUP(ROUND(((($D$3+$D$4)/2)-$D$5),3),FAKT_C109,2,-1)),0)</f>
        <v>435</v>
      </c>
      <c r="F33" s="175">
        <f>ROUND('BASE-C200POWER'!D10*(VLOOKUP(ROUND(((($D$3+$D$4)/2)-$D$5),3),FAKT_C109,2,-1)),0)</f>
        <v>879</v>
      </c>
      <c r="G33" s="175">
        <f>ROUND('BASE-C200POWER'!E10*(VLOOKUP(ROUND(((($D$3+$D$4)/2)-$D$5),3),FAKT_C109,2,-1)),0)</f>
        <v>907</v>
      </c>
      <c r="H33" s="175">
        <f>ROUND('BASE-C200POWER'!F10*(VLOOKUP(ROUND(((($D$3+$D$4)/2)-$D$5),3),FAKT_C109,2,-1)),0)</f>
        <v>1118</v>
      </c>
      <c r="I33" s="175">
        <f>ROUND('BASE-C200POWER'!G10*(VLOOKUP(ROUND(((($D$3+$D$4)/2)-$D$5),3),FAKT_C109,2,-1)),0)</f>
        <v>1192</v>
      </c>
      <c r="J33" s="175">
        <f>ROUND('BASE-C200POWER'!H10*(VLOOKUP(ROUND(((($D$3+$D$4)/2)-$D$5),3),FAKT_C109,2,-1)),0)</f>
        <v>1394</v>
      </c>
      <c r="K33" s="176">
        <f>ROUND('BASE-C200POWER'!I10*(VLOOKUP(ROUND(((($D$3+$D$4)/2)-$D$5),3),FAKT_C109,2,-1)),0)</f>
        <v>1601</v>
      </c>
    </row>
    <row r="34" spans="2:11" ht="12.75" customHeight="1" x14ac:dyDescent="0.2">
      <c r="B34" s="482"/>
      <c r="C34" s="482"/>
      <c r="D34" s="189">
        <f t="shared" ref="D34:K34" si="8">ROUNDDOWN(D33/(1.161*($D$3-$D$4)),0)</f>
        <v>31</v>
      </c>
      <c r="E34" s="177">
        <f t="shared" si="8"/>
        <v>37</v>
      </c>
      <c r="F34" s="177">
        <f t="shared" si="8"/>
        <v>75</v>
      </c>
      <c r="G34" s="177">
        <f t="shared" si="8"/>
        <v>78</v>
      </c>
      <c r="H34" s="177">
        <f t="shared" si="8"/>
        <v>96</v>
      </c>
      <c r="I34" s="177">
        <f t="shared" si="8"/>
        <v>102</v>
      </c>
      <c r="J34" s="177">
        <f t="shared" si="8"/>
        <v>120</v>
      </c>
      <c r="K34" s="178">
        <f t="shared" si="8"/>
        <v>137</v>
      </c>
    </row>
    <row r="35" spans="2:11" ht="12.75" customHeight="1" x14ac:dyDescent="0.2">
      <c r="B35" s="483">
        <v>1950</v>
      </c>
      <c r="C35" s="483"/>
      <c r="D35" s="275">
        <f>ROUND('BASE-C200POWER'!B11*(VLOOKUP(ROUND(((($D$3+$D$4)/2)-$D$5),3),FAKT_C109,2,-1)),0)</f>
        <v>413</v>
      </c>
      <c r="E35" s="267">
        <f>ROUND('BASE-C200POWER'!C11*(VLOOKUP(ROUND(((($D$3+$D$4)/2)-$D$5),3),FAKT_C109,2,-1)),0)</f>
        <v>497</v>
      </c>
      <c r="F35" s="267">
        <f>ROUND('BASE-C200POWER'!D11*(VLOOKUP(ROUND(((($D$3+$D$4)/2)-$D$5),3),FAKT_C109,2,-1)),0)</f>
        <v>1005</v>
      </c>
      <c r="G35" s="267">
        <f>ROUND('BASE-C200POWER'!E11*(VLOOKUP(ROUND(((($D$3+$D$4)/2)-$D$5),3),FAKT_C109,2,-1)),0)</f>
        <v>1037</v>
      </c>
      <c r="H35" s="267">
        <f>ROUND('BASE-C200POWER'!F11*(VLOOKUP(ROUND(((($D$3+$D$4)/2)-$D$5),3),FAKT_C109,2,-1)),0)</f>
        <v>1279</v>
      </c>
      <c r="I35" s="267">
        <f>ROUND('BASE-C200POWER'!G11*(VLOOKUP(ROUND(((($D$3+$D$4)/2)-$D$5),3),FAKT_C109,2,-1)),0)</f>
        <v>1363</v>
      </c>
      <c r="J35" s="267">
        <f>ROUND('BASE-C200POWER'!H11*(VLOOKUP(ROUND(((($D$3+$D$4)/2)-$D$5),3),FAKT_C109,2,-1)),0)</f>
        <v>1592</v>
      </c>
      <c r="K35" s="268">
        <f>ROUND('BASE-C200POWER'!I11*(VLOOKUP(ROUND(((($D$3+$D$4)/2)-$D$5),3),FAKT_C109,2,-1)),0)</f>
        <v>1828</v>
      </c>
    </row>
    <row r="36" spans="2:11" ht="12.75" customHeight="1" x14ac:dyDescent="0.2">
      <c r="B36" s="483"/>
      <c r="C36" s="483"/>
      <c r="D36" s="276">
        <f t="shared" ref="D36:K36" si="9">ROUNDDOWN(D35/(1.161*($D$3-$D$4)),0)</f>
        <v>35</v>
      </c>
      <c r="E36" s="269">
        <f t="shared" si="9"/>
        <v>42</v>
      </c>
      <c r="F36" s="269">
        <f t="shared" si="9"/>
        <v>86</v>
      </c>
      <c r="G36" s="269">
        <f t="shared" si="9"/>
        <v>89</v>
      </c>
      <c r="H36" s="269">
        <f t="shared" si="9"/>
        <v>110</v>
      </c>
      <c r="I36" s="269">
        <f t="shared" si="9"/>
        <v>117</v>
      </c>
      <c r="J36" s="269">
        <f t="shared" si="9"/>
        <v>137</v>
      </c>
      <c r="K36" s="270">
        <f t="shared" si="9"/>
        <v>157</v>
      </c>
    </row>
    <row r="37" spans="2:11" ht="12.75" customHeight="1" x14ac:dyDescent="0.2">
      <c r="B37" s="482">
        <v>2150</v>
      </c>
      <c r="C37" s="482"/>
      <c r="D37" s="188">
        <f>ROUND('BASE-C200POWER'!B12*(VLOOKUP(ROUND(((($D$3+$D$4)/2)-$D$5),3),FAKT_C109,2,-1)),0)</f>
        <v>464</v>
      </c>
      <c r="E37" s="175">
        <f>ROUND('BASE-C200POWER'!C12*(VLOOKUP(ROUND(((($D$3+$D$4)/2)-$D$5),3),FAKT_C109,2,-1)),0)</f>
        <v>559</v>
      </c>
      <c r="F37" s="175">
        <f>ROUND('BASE-C200POWER'!D12*(VLOOKUP(ROUND(((($D$3+$D$4)/2)-$D$5),3),FAKT_C109,2,-1)),0)</f>
        <v>1131</v>
      </c>
      <c r="G37" s="175">
        <f>ROUND('BASE-C200POWER'!E12*(VLOOKUP(ROUND(((($D$3+$D$4)/2)-$D$5),3),FAKT_C109,2,-1)),0)</f>
        <v>1166</v>
      </c>
      <c r="H37" s="175">
        <f>ROUND('BASE-C200POWER'!F12*(VLOOKUP(ROUND(((($D$3+$D$4)/2)-$D$5),3),FAKT_C109,2,-1)),0)</f>
        <v>1438</v>
      </c>
      <c r="I37" s="175">
        <f>ROUND('BASE-C200POWER'!G12*(VLOOKUP(ROUND(((($D$3+$D$4)/2)-$D$5),3),FAKT_C109,2,-1)),0)</f>
        <v>1533</v>
      </c>
      <c r="J37" s="175">
        <f>ROUND('BASE-C200POWER'!H12*(VLOOKUP(ROUND(((($D$3+$D$4)/2)-$D$5),3),FAKT_C109,2,-1)),0)</f>
        <v>1792</v>
      </c>
      <c r="K37" s="176">
        <f>ROUND('BASE-C200POWER'!I12*(VLOOKUP(ROUND(((($D$3+$D$4)/2)-$D$5),3),FAKT_C109,2,-1)),0)</f>
        <v>2057</v>
      </c>
    </row>
    <row r="38" spans="2:11" ht="12.75" customHeight="1" x14ac:dyDescent="0.2">
      <c r="B38" s="482"/>
      <c r="C38" s="482"/>
      <c r="D38" s="189">
        <f t="shared" ref="D38:K38" si="10">ROUNDDOWN(D37/(1.161*($D$3-$D$4)),0)</f>
        <v>39</v>
      </c>
      <c r="E38" s="177">
        <f t="shared" si="10"/>
        <v>48</v>
      </c>
      <c r="F38" s="177">
        <f t="shared" si="10"/>
        <v>97</v>
      </c>
      <c r="G38" s="177">
        <f t="shared" si="10"/>
        <v>100</v>
      </c>
      <c r="H38" s="177">
        <f t="shared" si="10"/>
        <v>123</v>
      </c>
      <c r="I38" s="177">
        <f t="shared" si="10"/>
        <v>132</v>
      </c>
      <c r="J38" s="177">
        <f t="shared" si="10"/>
        <v>154</v>
      </c>
      <c r="K38" s="178">
        <f t="shared" si="10"/>
        <v>177</v>
      </c>
    </row>
    <row r="39" spans="2:11" ht="12.75" customHeight="1" x14ac:dyDescent="0.2">
      <c r="B39" s="483">
        <v>2350</v>
      </c>
      <c r="C39" s="483"/>
      <c r="D39" s="275">
        <f>ROUND('BASE-C200POWER'!B13*(VLOOKUP(ROUND(((($D$3+$D$4)/2)-$D$5),3),FAKT_C109,2,-1)),0)</f>
        <v>516</v>
      </c>
      <c r="E39" s="267">
        <f>ROUND('BASE-C200POWER'!C13*(VLOOKUP(ROUND(((($D$3+$D$4)/2)-$D$5),3),FAKT_C109,2,-1)),0)</f>
        <v>621</v>
      </c>
      <c r="F39" s="267">
        <f>ROUND('BASE-C200POWER'!D13*(VLOOKUP(ROUND(((($D$3+$D$4)/2)-$D$5),3),FAKT_C109,2,-1)),0)</f>
        <v>1256</v>
      </c>
      <c r="G39" s="267">
        <f>ROUND('BASE-C200POWER'!E13*(VLOOKUP(ROUND(((($D$3+$D$4)/2)-$D$5),3),FAKT_C109,2,-1)),0)</f>
        <v>1296</v>
      </c>
      <c r="H39" s="267">
        <f>ROUND('BASE-C200POWER'!F13*(VLOOKUP(ROUND(((($D$3+$D$4)/2)-$D$5),3),FAKT_C109,2,-1)),0)</f>
        <v>1598</v>
      </c>
      <c r="I39" s="267">
        <f>ROUND('BASE-C200POWER'!G13*(VLOOKUP(ROUND(((($D$3+$D$4)/2)-$D$5),3),FAKT_C109,2,-1)),0)</f>
        <v>1703</v>
      </c>
      <c r="J39" s="267">
        <f>ROUND('BASE-C200POWER'!H13*(VLOOKUP(ROUND(((($D$3+$D$4)/2)-$D$5),3),FAKT_C109,2,-1)),0)</f>
        <v>1991</v>
      </c>
      <c r="K39" s="268">
        <f>ROUND('BASE-C200POWER'!I13*(VLOOKUP(ROUND(((($D$3+$D$4)/2)-$D$5),3),FAKT_C109,2,-1)),0)</f>
        <v>2286</v>
      </c>
    </row>
    <row r="40" spans="2:11" ht="12.75" customHeight="1" x14ac:dyDescent="0.2">
      <c r="B40" s="483"/>
      <c r="C40" s="483"/>
      <c r="D40" s="276">
        <f t="shared" ref="D40:K40" si="11">ROUNDDOWN(D39/(1.161*($D$3-$D$4)),0)</f>
        <v>44</v>
      </c>
      <c r="E40" s="269">
        <f t="shared" si="11"/>
        <v>53</v>
      </c>
      <c r="F40" s="269">
        <f t="shared" si="11"/>
        <v>108</v>
      </c>
      <c r="G40" s="269">
        <f t="shared" si="11"/>
        <v>111</v>
      </c>
      <c r="H40" s="269">
        <f t="shared" si="11"/>
        <v>137</v>
      </c>
      <c r="I40" s="269">
        <f t="shared" si="11"/>
        <v>146</v>
      </c>
      <c r="J40" s="269">
        <f t="shared" si="11"/>
        <v>171</v>
      </c>
      <c r="K40" s="270">
        <f t="shared" si="11"/>
        <v>196</v>
      </c>
    </row>
    <row r="41" spans="2:11" ht="12.75" customHeight="1" x14ac:dyDescent="0.2">
      <c r="B41" s="482">
        <v>2550</v>
      </c>
      <c r="C41" s="482"/>
      <c r="D41" s="188">
        <f>ROUND('BASE-C200POWER'!B14*(VLOOKUP(ROUND(((($D$3+$D$4)/2)-$D$5),3),FAKT_C109,2,-1)),0)</f>
        <v>567</v>
      </c>
      <c r="E41" s="175">
        <f>ROUND('BASE-C200POWER'!C14*(VLOOKUP(ROUND(((($D$3+$D$4)/2)-$D$5),3),FAKT_C109,2,-1)),0)</f>
        <v>683</v>
      </c>
      <c r="F41" s="175">
        <f>ROUND('BASE-C200POWER'!D14*(VLOOKUP(ROUND(((($D$3+$D$4)/2)-$D$5),3),FAKT_C109,2,-1)),0)</f>
        <v>1381</v>
      </c>
      <c r="G41" s="175">
        <f>ROUND('BASE-C200POWER'!E14*(VLOOKUP(ROUND(((($D$3+$D$4)/2)-$D$5),3),FAKT_C109,2,-1)),0)</f>
        <v>1425</v>
      </c>
      <c r="H41" s="175">
        <f>ROUND('BASE-C200POWER'!F14*(VLOOKUP(ROUND(((($D$3+$D$4)/2)-$D$5),3),FAKT_C109,2,-1)),0)</f>
        <v>1758</v>
      </c>
      <c r="I41" s="175">
        <f>ROUND('BASE-C200POWER'!G14*(VLOOKUP(ROUND(((($D$3+$D$4)/2)-$D$5),3),FAKT_C109,2,-1)),0)</f>
        <v>1874</v>
      </c>
      <c r="J41" s="175">
        <f>ROUND('BASE-C200POWER'!H14*(VLOOKUP(ROUND(((($D$3+$D$4)/2)-$D$5),3),FAKT_C109,2,-1)),0)</f>
        <v>2190</v>
      </c>
      <c r="K41" s="176">
        <f>ROUND('BASE-C200POWER'!I14*(VLOOKUP(ROUND(((($D$3+$D$4)/2)-$D$5),3),FAKT_C109,2,-1)),0)</f>
        <v>2515</v>
      </c>
    </row>
    <row r="42" spans="2:11" ht="12.75" customHeight="1" x14ac:dyDescent="0.2">
      <c r="B42" s="482"/>
      <c r="C42" s="482"/>
      <c r="D42" s="189">
        <f t="shared" ref="D42:K42" si="12">ROUNDDOWN(D41/(1.161*($D$3-$D$4)),0)</f>
        <v>48</v>
      </c>
      <c r="E42" s="177">
        <f t="shared" si="12"/>
        <v>58</v>
      </c>
      <c r="F42" s="177">
        <f t="shared" si="12"/>
        <v>118</v>
      </c>
      <c r="G42" s="177">
        <f t="shared" si="12"/>
        <v>122</v>
      </c>
      <c r="H42" s="177">
        <f t="shared" si="12"/>
        <v>151</v>
      </c>
      <c r="I42" s="177">
        <f t="shared" si="12"/>
        <v>161</v>
      </c>
      <c r="J42" s="177">
        <f t="shared" si="12"/>
        <v>188</v>
      </c>
      <c r="K42" s="178">
        <f t="shared" si="12"/>
        <v>216</v>
      </c>
    </row>
    <row r="43" spans="2:11" ht="12.75" customHeight="1" x14ac:dyDescent="0.2">
      <c r="B43" s="483">
        <v>2750</v>
      </c>
      <c r="C43" s="483"/>
      <c r="D43" s="275">
        <f>ROUND('BASE-C200POWER'!B15*(VLOOKUP(ROUND(((($D$3+$D$4)/2)-$D$5),3),FAKT_C109,2,-1)),0)</f>
        <v>619</v>
      </c>
      <c r="E43" s="267">
        <f>ROUND('BASE-C200POWER'!C15*(VLOOKUP(ROUND(((($D$3+$D$4)/2)-$D$5),3),FAKT_C109,2,-1)),0)</f>
        <v>745</v>
      </c>
      <c r="F43" s="267">
        <f>ROUND('BASE-C200POWER'!D15*(VLOOKUP(ROUND(((($D$3+$D$4)/2)-$D$5),3),FAKT_C109,2,-1)),0)</f>
        <v>1507</v>
      </c>
      <c r="G43" s="267">
        <f>ROUND('BASE-C200POWER'!E15*(VLOOKUP(ROUND(((($D$3+$D$4)/2)-$D$5),3),FAKT_C109,2,-1)),0)</f>
        <v>1554</v>
      </c>
      <c r="H43" s="267">
        <f>ROUND('BASE-C200POWER'!F15*(VLOOKUP(ROUND(((($D$3+$D$4)/2)-$D$5),3),FAKT_C109,2,-1)),0)</f>
        <v>1917</v>
      </c>
      <c r="I43" s="267">
        <f>ROUND('BASE-C200POWER'!G15*(VLOOKUP(ROUND(((($D$3+$D$4)/2)-$D$5),3),FAKT_C109,2,-1)),0)</f>
        <v>2044</v>
      </c>
      <c r="J43" s="267">
        <f>ROUND('BASE-C200POWER'!H15*(VLOOKUP(ROUND(((($D$3+$D$4)/2)-$D$5),3),FAKT_C109,2,-1)),0)</f>
        <v>2390</v>
      </c>
      <c r="K43" s="268">
        <f>ROUND('BASE-C200POWER'!I15*(VLOOKUP(ROUND(((($D$3+$D$4)/2)-$D$5),3),FAKT_C109,2,-1)),0)</f>
        <v>2744</v>
      </c>
    </row>
    <row r="44" spans="2:11" ht="12.75" customHeight="1" x14ac:dyDescent="0.2">
      <c r="B44" s="483"/>
      <c r="C44" s="483"/>
      <c r="D44" s="276">
        <f t="shared" ref="D44:K44" si="13">ROUNDDOWN(D43/(1.161*($D$3-$D$4)),0)</f>
        <v>53</v>
      </c>
      <c r="E44" s="269">
        <f t="shared" si="13"/>
        <v>64</v>
      </c>
      <c r="F44" s="269">
        <f t="shared" si="13"/>
        <v>129</v>
      </c>
      <c r="G44" s="269">
        <f t="shared" si="13"/>
        <v>133</v>
      </c>
      <c r="H44" s="269">
        <f t="shared" si="13"/>
        <v>165</v>
      </c>
      <c r="I44" s="269">
        <f t="shared" si="13"/>
        <v>176</v>
      </c>
      <c r="J44" s="269">
        <f t="shared" si="13"/>
        <v>205</v>
      </c>
      <c r="K44" s="270">
        <f t="shared" si="13"/>
        <v>236</v>
      </c>
    </row>
    <row r="45" spans="2:11" ht="12.75" customHeight="1" x14ac:dyDescent="0.2">
      <c r="B45" s="482">
        <v>2950</v>
      </c>
      <c r="C45" s="482"/>
      <c r="D45" s="188">
        <f>ROUND('BASE-C200POWER'!B16*(VLOOKUP(ROUND(((($D$3+$D$4)/2)-$D$5),3),FAKT_C109,2,-1)),0)</f>
        <v>670</v>
      </c>
      <c r="E45" s="175">
        <f>ROUND('BASE-C200POWER'!C16*(VLOOKUP(ROUND(((($D$3+$D$4)/2)-$D$5),3),FAKT_C109,2,-1)),0)</f>
        <v>808</v>
      </c>
      <c r="F45" s="175">
        <f>ROUND('BASE-C200POWER'!D16*(VLOOKUP(ROUND(((($D$3+$D$4)/2)-$D$5),3),FAKT_C109,2,-1)),0)</f>
        <v>1633</v>
      </c>
      <c r="G45" s="175">
        <f>ROUND('BASE-C200POWER'!E16*(VLOOKUP(ROUND(((($D$3+$D$4)/2)-$D$5),3),FAKT_C109,2,-1)),0)</f>
        <v>1685</v>
      </c>
      <c r="H45" s="175">
        <f>ROUND('BASE-C200POWER'!F16*(VLOOKUP(ROUND(((($D$3+$D$4)/2)-$D$5),3),FAKT_C109,2,-1)),0)</f>
        <v>2078</v>
      </c>
      <c r="I45" s="175">
        <f>ROUND('BASE-C200POWER'!G16*(VLOOKUP(ROUND(((($D$3+$D$4)/2)-$D$5),3),FAKT_C109,2,-1)),0)</f>
        <v>2215</v>
      </c>
      <c r="J45" s="175">
        <f>ROUND('BASE-C200POWER'!H16*(VLOOKUP(ROUND(((($D$3+$D$4)/2)-$D$5),3),FAKT_C109,2,-1)),0)</f>
        <v>2588</v>
      </c>
      <c r="K45" s="176">
        <f>ROUND('BASE-C200POWER'!I16*(VLOOKUP(ROUND(((($D$3+$D$4)/2)-$D$5),3),FAKT_C109,2,-1)),0)</f>
        <v>2971</v>
      </c>
    </row>
    <row r="46" spans="2:11" ht="12.75" customHeight="1" x14ac:dyDescent="0.2">
      <c r="B46" s="482"/>
      <c r="C46" s="482"/>
      <c r="D46" s="189">
        <f t="shared" ref="D46:K46" si="14">ROUNDDOWN(D45/(1.161*($D$3-$D$4)),0)</f>
        <v>57</v>
      </c>
      <c r="E46" s="177">
        <f t="shared" si="14"/>
        <v>69</v>
      </c>
      <c r="F46" s="177">
        <f t="shared" si="14"/>
        <v>140</v>
      </c>
      <c r="G46" s="177">
        <f t="shared" si="14"/>
        <v>145</v>
      </c>
      <c r="H46" s="177">
        <f t="shared" si="14"/>
        <v>178</v>
      </c>
      <c r="I46" s="177">
        <f t="shared" si="14"/>
        <v>190</v>
      </c>
      <c r="J46" s="177">
        <f t="shared" si="14"/>
        <v>222</v>
      </c>
      <c r="K46" s="178">
        <f t="shared" si="14"/>
        <v>255</v>
      </c>
    </row>
    <row r="47" spans="2:11" ht="12.75" customHeight="1" x14ac:dyDescent="0.2">
      <c r="B47" s="483">
        <v>3150</v>
      </c>
      <c r="C47" s="483"/>
      <c r="D47" s="275">
        <f>ROUND('BASE-C200POWER'!B17*(VLOOKUP(ROUND(((($D$3+$D$4)/2)-$D$5),3),FAKT_C109,2,-1)),0)</f>
        <v>722</v>
      </c>
      <c r="E47" s="267">
        <f>ROUND('BASE-C200POWER'!C17*(VLOOKUP(ROUND(((($D$3+$D$4)/2)-$D$5),3),FAKT_C109,2,-1)),0)</f>
        <v>870</v>
      </c>
      <c r="F47" s="267">
        <f>ROUND('BASE-C200POWER'!D17*(VLOOKUP(ROUND(((($D$3+$D$4)/2)-$D$5),3),FAKT_C109,2,-1)),0)</f>
        <v>1758</v>
      </c>
      <c r="G47" s="267">
        <f>ROUND('BASE-C200POWER'!E17*(VLOOKUP(ROUND(((($D$3+$D$4)/2)-$D$5),3),FAKT_C109,2,-1)),0)</f>
        <v>1814</v>
      </c>
      <c r="H47" s="267">
        <f>ROUND('BASE-C200POWER'!F17*(VLOOKUP(ROUND(((($D$3+$D$4)/2)-$D$5),3),FAKT_C109,2,-1)),0)</f>
        <v>2237</v>
      </c>
      <c r="I47" s="267">
        <f>ROUND('BASE-C200POWER'!G17*(VLOOKUP(ROUND(((($D$3+$D$4)/2)-$D$5),3),FAKT_C109,2,-1)),0)</f>
        <v>2384</v>
      </c>
      <c r="J47" s="267">
        <f>ROUND('BASE-C200POWER'!H17*(VLOOKUP(ROUND(((($D$3+$D$4)/2)-$D$5),3),FAKT_C109,2,-1)),0)</f>
        <v>2787</v>
      </c>
      <c r="K47" s="268">
        <f>ROUND('BASE-C200POWER'!I17*(VLOOKUP(ROUND(((($D$3+$D$4)/2)-$D$5),3),FAKT_C109,2,-1)),0)</f>
        <v>3200</v>
      </c>
    </row>
    <row r="48" spans="2:11" ht="12.75" customHeight="1" x14ac:dyDescent="0.2">
      <c r="B48" s="483"/>
      <c r="C48" s="483"/>
      <c r="D48" s="276">
        <f t="shared" ref="D48:K48" si="15">ROUNDDOWN(D47/(1.161*($D$3-$D$4)),0)</f>
        <v>62</v>
      </c>
      <c r="E48" s="269">
        <f t="shared" si="15"/>
        <v>74</v>
      </c>
      <c r="F48" s="269">
        <f t="shared" si="15"/>
        <v>151</v>
      </c>
      <c r="G48" s="269">
        <f t="shared" si="15"/>
        <v>156</v>
      </c>
      <c r="H48" s="269">
        <f t="shared" si="15"/>
        <v>192</v>
      </c>
      <c r="I48" s="269">
        <f t="shared" si="15"/>
        <v>205</v>
      </c>
      <c r="J48" s="269">
        <f t="shared" si="15"/>
        <v>240</v>
      </c>
      <c r="K48" s="270">
        <f t="shared" si="15"/>
        <v>275</v>
      </c>
    </row>
    <row r="49" spans="2:11" ht="12.75" customHeight="1" x14ac:dyDescent="0.2">
      <c r="B49" s="482">
        <v>3350</v>
      </c>
      <c r="C49" s="482"/>
      <c r="D49" s="188">
        <f>ROUND('BASE-C200POWER'!B18*(VLOOKUP(ROUND(((($D$3+$D$4)/2)-$D$5),3),FAKT_C109,2,-1)),0)</f>
        <v>773</v>
      </c>
      <c r="E49" s="175">
        <f>ROUND('BASE-C200POWER'!C18*(VLOOKUP(ROUND(((($D$3+$D$4)/2)-$D$5),3),FAKT_C109,2,-1)),0)</f>
        <v>932</v>
      </c>
      <c r="F49" s="175">
        <f>ROUND('BASE-C200POWER'!D18*(VLOOKUP(ROUND(((($D$3+$D$4)/2)-$D$5),3),FAKT_C109,2,-1)),0)</f>
        <v>1884</v>
      </c>
      <c r="G49" s="175">
        <f>ROUND('BASE-C200POWER'!E18*(VLOOKUP(ROUND(((($D$3+$D$4)/2)-$D$5),3),FAKT_C109,2,-1)),0)</f>
        <v>1943</v>
      </c>
      <c r="H49" s="175">
        <f>ROUND('BASE-C200POWER'!F18*(VLOOKUP(ROUND(((($D$3+$D$4)/2)-$D$5),3),FAKT_C109,2,-1)),0)</f>
        <v>2397</v>
      </c>
      <c r="I49" s="175">
        <f>ROUND('BASE-C200POWER'!G18*(VLOOKUP(ROUND(((($D$3+$D$4)/2)-$D$5),3),FAKT_C109,2,-1)),0)</f>
        <v>2555</v>
      </c>
      <c r="J49" s="175">
        <f>ROUND('BASE-C200POWER'!H18*(VLOOKUP(ROUND(((($D$3+$D$4)/2)-$D$5),3),FAKT_C109,2,-1)),0)</f>
        <v>2986</v>
      </c>
      <c r="K49" s="176">
        <f>ROUND('BASE-C200POWER'!I18*(VLOOKUP(ROUND(((($D$3+$D$4)/2)-$D$5),3),FAKT_C109,2,-1)),0)</f>
        <v>3429</v>
      </c>
    </row>
    <row r="50" spans="2:11" ht="12.75" customHeight="1" x14ac:dyDescent="0.2">
      <c r="B50" s="482"/>
      <c r="C50" s="482"/>
      <c r="D50" s="189">
        <f t="shared" ref="D50:K50" si="16">ROUNDDOWN(D49/(1.161*($D$3-$D$4)),0)</f>
        <v>66</v>
      </c>
      <c r="E50" s="177">
        <f t="shared" si="16"/>
        <v>80</v>
      </c>
      <c r="F50" s="177">
        <f t="shared" si="16"/>
        <v>162</v>
      </c>
      <c r="G50" s="177">
        <f t="shared" si="16"/>
        <v>167</v>
      </c>
      <c r="H50" s="177">
        <f t="shared" si="16"/>
        <v>206</v>
      </c>
      <c r="I50" s="177">
        <f t="shared" si="16"/>
        <v>220</v>
      </c>
      <c r="J50" s="177">
        <f t="shared" si="16"/>
        <v>257</v>
      </c>
      <c r="K50" s="178">
        <f t="shared" si="16"/>
        <v>295</v>
      </c>
    </row>
    <row r="51" spans="2:11" ht="12.75" customHeight="1" x14ac:dyDescent="0.2">
      <c r="B51" s="483">
        <v>3550</v>
      </c>
      <c r="C51" s="483"/>
      <c r="D51" s="275">
        <f>ROUND('BASE-C200POWER'!B19*(VLOOKUP(ROUND(((($D$3+$D$4)/2)-$D$5),3),FAKT_C109,2,-1)),0)</f>
        <v>825</v>
      </c>
      <c r="E51" s="267">
        <f>ROUND('BASE-C200POWER'!C19*(VLOOKUP(ROUND(((($D$3+$D$4)/2)-$D$5),3),FAKT_C109,2,-1)),0)</f>
        <v>994</v>
      </c>
      <c r="F51" s="267">
        <f>ROUND('BASE-C200POWER'!D19*(VLOOKUP(ROUND(((($D$3+$D$4)/2)-$D$5),3),FAKT_C109,2,-1)),0)</f>
        <v>2009</v>
      </c>
      <c r="G51" s="267">
        <f>ROUND('BASE-C200POWER'!E19*(VLOOKUP(ROUND(((($D$3+$D$4)/2)-$D$5),3),FAKT_C109,2,-1)),0)</f>
        <v>2073</v>
      </c>
      <c r="H51" s="267">
        <f>ROUND('BASE-C200POWER'!F19*(VLOOKUP(ROUND(((($D$3+$D$4)/2)-$D$5),3),FAKT_C109,2,-1)),0)</f>
        <v>2557</v>
      </c>
      <c r="I51" s="267">
        <f>ROUND('BASE-C200POWER'!G19*(VLOOKUP(ROUND(((($D$3+$D$4)/2)-$D$5),3),FAKT_C109,2,-1)),0)</f>
        <v>2726</v>
      </c>
      <c r="J51" s="267">
        <f>ROUND('BASE-C200POWER'!H19*(VLOOKUP(ROUND(((($D$3+$D$4)/2)-$D$5),3),FAKT_C109,2,-1)),0)</f>
        <v>3186</v>
      </c>
      <c r="K51" s="268">
        <f>ROUND('BASE-C200POWER'!I19*(VLOOKUP(ROUND(((($D$3+$D$4)/2)-$D$5),3),FAKT_C109,2,-1)),0)</f>
        <v>3658</v>
      </c>
    </row>
    <row r="52" spans="2:11" ht="12.75" customHeight="1" x14ac:dyDescent="0.2">
      <c r="B52" s="483"/>
      <c r="C52" s="483"/>
      <c r="D52" s="276">
        <f t="shared" ref="D52:K52" si="17">ROUNDDOWN(D51/(1.161*($D$3-$D$4)),0)</f>
        <v>71</v>
      </c>
      <c r="E52" s="269">
        <f t="shared" si="17"/>
        <v>85</v>
      </c>
      <c r="F52" s="269">
        <f t="shared" si="17"/>
        <v>173</v>
      </c>
      <c r="G52" s="269">
        <f t="shared" si="17"/>
        <v>178</v>
      </c>
      <c r="H52" s="269">
        <f t="shared" si="17"/>
        <v>220</v>
      </c>
      <c r="I52" s="269">
        <f t="shared" si="17"/>
        <v>234</v>
      </c>
      <c r="J52" s="269">
        <f t="shared" si="17"/>
        <v>274</v>
      </c>
      <c r="K52" s="270">
        <f t="shared" si="17"/>
        <v>315</v>
      </c>
    </row>
    <row r="53" spans="2:11" ht="12.75" customHeight="1" x14ac:dyDescent="0.2">
      <c r="B53" s="482">
        <v>3750</v>
      </c>
      <c r="C53" s="482"/>
      <c r="D53" s="188">
        <f>ROUND('BASE-C200POWER'!B20*(VLOOKUP(ROUND(((($D$3+$D$4)/2)-$D$5),3),FAKT_C109,2,-1)),0)</f>
        <v>876</v>
      </c>
      <c r="E53" s="175">
        <f>ROUND('BASE-C200POWER'!C20*(VLOOKUP(ROUND(((($D$3+$D$4)/2)-$D$5),3),FAKT_C109,2,-1)),0)</f>
        <v>1056</v>
      </c>
      <c r="F53" s="175">
        <f>ROUND('BASE-C200POWER'!D20*(VLOOKUP(ROUND(((($D$3+$D$4)/2)-$D$5),3),FAKT_C109,2,-1)),0)</f>
        <v>2135</v>
      </c>
      <c r="G53" s="175">
        <f>ROUND('BASE-C200POWER'!E20*(VLOOKUP(ROUND(((($D$3+$D$4)/2)-$D$5),3),FAKT_C109,2,-1)),0)</f>
        <v>2202</v>
      </c>
      <c r="H53" s="175">
        <f>ROUND('BASE-C200POWER'!F20*(VLOOKUP(ROUND(((($D$3+$D$4)/2)-$D$5),3),FAKT_C109,2,-1)),0)</f>
        <v>2716</v>
      </c>
      <c r="I53" s="175">
        <f>ROUND('BASE-C200POWER'!G20*(VLOOKUP(ROUND(((($D$3+$D$4)/2)-$D$5),3),FAKT_C109,2,-1)),0)</f>
        <v>2895</v>
      </c>
      <c r="J53" s="175">
        <f>ROUND('BASE-C200POWER'!H20*(VLOOKUP(ROUND(((($D$3+$D$4)/2)-$D$5),3),FAKT_C109,2,-1)),0)</f>
        <v>3385</v>
      </c>
      <c r="K53" s="176">
        <f>ROUND('BASE-C200POWER'!I20*(VLOOKUP(ROUND(((($D$3+$D$4)/2)-$D$5),3),FAKT_C109,2,-1)),0)</f>
        <v>3886</v>
      </c>
    </row>
    <row r="54" spans="2:11" ht="12.75" customHeight="1" x14ac:dyDescent="0.2">
      <c r="B54" s="482"/>
      <c r="C54" s="482"/>
      <c r="D54" s="189">
        <f t="shared" ref="D54:K54" si="18">ROUNDDOWN(D53/(1.161*($D$3-$D$4)),0)</f>
        <v>75</v>
      </c>
      <c r="E54" s="177">
        <f t="shared" si="18"/>
        <v>90</v>
      </c>
      <c r="F54" s="177">
        <f t="shared" si="18"/>
        <v>183</v>
      </c>
      <c r="G54" s="177">
        <f t="shared" si="18"/>
        <v>189</v>
      </c>
      <c r="H54" s="177">
        <f t="shared" si="18"/>
        <v>233</v>
      </c>
      <c r="I54" s="177">
        <f t="shared" si="18"/>
        <v>249</v>
      </c>
      <c r="J54" s="177">
        <f t="shared" si="18"/>
        <v>291</v>
      </c>
      <c r="K54" s="178">
        <f t="shared" si="18"/>
        <v>334</v>
      </c>
    </row>
    <row r="55" spans="2:11" ht="12.75" customHeight="1" x14ac:dyDescent="0.2">
      <c r="B55" s="483">
        <v>3950</v>
      </c>
      <c r="C55" s="483"/>
      <c r="D55" s="275">
        <f>ROUND('BASE-C200POWER'!B21*(VLOOKUP(ROUND(((($D$3+$D$4)/2)-$D$5),3),FAKT_C109,2,-1)),0)</f>
        <v>928</v>
      </c>
      <c r="E55" s="267">
        <f>ROUND('BASE-C200POWER'!C21*(VLOOKUP(ROUND(((($D$3+$D$4)/2)-$D$5),3),FAKT_C109,2,-1)),0)</f>
        <v>1119</v>
      </c>
      <c r="F55" s="267">
        <f>ROUND('BASE-C200POWER'!D21*(VLOOKUP(ROUND(((($D$3+$D$4)/2)-$D$5),3),FAKT_C109,2,-1)),0)</f>
        <v>2261</v>
      </c>
      <c r="G55" s="267">
        <f>ROUND('BASE-C200POWER'!E21*(VLOOKUP(ROUND(((($D$3+$D$4)/2)-$D$5),3),FAKT_C109,2,-1)),0)</f>
        <v>2332</v>
      </c>
      <c r="H55" s="267">
        <f>ROUND('BASE-C200POWER'!F21*(VLOOKUP(ROUND(((($D$3+$D$4)/2)-$D$5),3),FAKT_C109,2,-1)),0)</f>
        <v>2877</v>
      </c>
      <c r="I55" s="267">
        <f>ROUND('BASE-C200POWER'!G21*(VLOOKUP(ROUND(((($D$3+$D$4)/2)-$D$5),3),FAKT_C109,2,-1)),0)</f>
        <v>3066</v>
      </c>
      <c r="J55" s="267">
        <f>ROUND('BASE-C200POWER'!H21*(VLOOKUP(ROUND(((($D$3+$D$4)/2)-$D$5),3),FAKT_C109,2,-1)),0)</f>
        <v>3583</v>
      </c>
      <c r="K55" s="268">
        <f>ROUND('BASE-C200POWER'!I21*(VLOOKUP(ROUND(((($D$3+$D$4)/2)-$D$5),3),FAKT_C109,2,-1)),0)</f>
        <v>4114</v>
      </c>
    </row>
    <row r="56" spans="2:11" ht="12.75" customHeight="1" x14ac:dyDescent="0.2">
      <c r="B56" s="483"/>
      <c r="C56" s="483"/>
      <c r="D56" s="276">
        <f t="shared" ref="D56:K56" si="19">ROUNDDOWN(D55/(1.161*($D$3-$D$4)),0)</f>
        <v>79</v>
      </c>
      <c r="E56" s="269">
        <f t="shared" si="19"/>
        <v>96</v>
      </c>
      <c r="F56" s="269">
        <f t="shared" si="19"/>
        <v>194</v>
      </c>
      <c r="G56" s="269">
        <f t="shared" si="19"/>
        <v>200</v>
      </c>
      <c r="H56" s="269">
        <f t="shared" si="19"/>
        <v>247</v>
      </c>
      <c r="I56" s="269">
        <f t="shared" si="19"/>
        <v>264</v>
      </c>
      <c r="J56" s="269">
        <f t="shared" si="19"/>
        <v>308</v>
      </c>
      <c r="K56" s="270">
        <f t="shared" si="19"/>
        <v>354</v>
      </c>
    </row>
    <row r="57" spans="2:11" ht="10.15" customHeight="1" x14ac:dyDescent="0.2">
      <c r="B57" s="148"/>
      <c r="C57" s="148"/>
      <c r="K57" s="140"/>
    </row>
    <row r="58" spans="2:11" x14ac:dyDescent="0.2">
      <c r="B58" s="141" t="str">
        <f>VLOOKUP(36,TXT,$F$3,0)</f>
        <v>Angabe in Watt  pro Bodenkonvektor-Länge L [mm]</v>
      </c>
      <c r="K58" s="121" t="str">
        <f>VLOOKUP(16,TXT,$F$3,0)</f>
        <v>Wärmeleistungen in Anlehnung an EN 442-2</v>
      </c>
    </row>
    <row r="59" spans="2:11" x14ac:dyDescent="0.2">
      <c r="B59" s="141" t="str">
        <f>VLOOKUP(90,TXT,$F$3,0)</f>
        <v>Leistungsdaten mit Abdeckung, Rollrost Typ 941-17-B (f.Q. 70%)</v>
      </c>
      <c r="K59" s="121"/>
    </row>
    <row r="60" spans="2:11" x14ac:dyDescent="0.2">
      <c r="B60" s="141" t="str">
        <f>CONCATENATE("(*) ",VLOOKUP(29,TXT,$F$3,0))</f>
        <v>(*) Minimale Wassermassenströme von ca. 20 kg/h sollen eingehalten werden</v>
      </c>
      <c r="K60" s="122" t="s">
        <v>1402</v>
      </c>
    </row>
    <row r="61" spans="2:11" x14ac:dyDescent="0.2">
      <c r="B61" s="183"/>
      <c r="C61" s="120"/>
      <c r="F61" s="120"/>
    </row>
    <row r="62" spans="2:11" hidden="1" x14ac:dyDescent="0.2">
      <c r="B62" s="183"/>
      <c r="C62" s="120"/>
      <c r="F62" s="120"/>
    </row>
    <row r="63" spans="2:11" hidden="1" x14ac:dyDescent="0.2">
      <c r="B63" s="183"/>
      <c r="C63" s="120"/>
      <c r="F63" s="120"/>
    </row>
  </sheetData>
  <sheetProtection algorithmName="SHA-512" hashValue="TorSt/yMOVbAIgZvik/3CRoAQgBBno83PT+zCHS1xzpTP2o4XjwPAH+ked8mGs3/g3HXomXDRXjDIDoXWwPU6A==" saltValue="Qkqhao6BGIFCfRJHEDd0Qw==" spinCount="100000" sheet="1" objects="1" scenarios="1" selectLockedCells="1"/>
  <protectedRanges>
    <protectedRange sqref="F4:F5" name="Bereich1_1_1"/>
  </protectedRanges>
  <mergeCells count="38">
    <mergeCell ref="H16:K16"/>
    <mergeCell ref="B10:D10"/>
    <mergeCell ref="E10:G10"/>
    <mergeCell ref="H10:I10"/>
    <mergeCell ref="J10:K10"/>
    <mergeCell ref="B12:C12"/>
    <mergeCell ref="B13:C13"/>
    <mergeCell ref="B14:C14"/>
    <mergeCell ref="B16:C16"/>
    <mergeCell ref="D16:G16"/>
    <mergeCell ref="B39:C40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53:C54"/>
    <mergeCell ref="B55:C56"/>
    <mergeCell ref="B41:C42"/>
    <mergeCell ref="B43:C44"/>
    <mergeCell ref="B45:C46"/>
    <mergeCell ref="B47:C48"/>
    <mergeCell ref="B49:C50"/>
    <mergeCell ref="B51:C52"/>
    <mergeCell ref="F3:F5"/>
    <mergeCell ref="D2:E2"/>
    <mergeCell ref="B3:C3"/>
    <mergeCell ref="D3:E3"/>
    <mergeCell ref="B4:C4"/>
    <mergeCell ref="D4:E4"/>
    <mergeCell ref="B5:C5"/>
    <mergeCell ref="D5:E5"/>
  </mergeCells>
  <conditionalFormatting sqref="D3:D5">
    <cfRule type="expression" dxfId="124" priority="2">
      <formula>$I$4&lt;&gt;""</formula>
    </cfRule>
    <cfRule type="expression" dxfId="123" priority="3">
      <formula>$K$3&lt;&gt;""</formula>
    </cfRule>
  </conditionalFormatting>
  <conditionalFormatting sqref="D3:E5">
    <cfRule type="expression" dxfId="122" priority="1">
      <formula>$H$4&lt;&gt;""</formula>
    </cfRule>
  </conditionalFormatting>
  <conditionalFormatting sqref="D17:K17">
    <cfRule type="expression" dxfId="121" priority="81" stopIfTrue="1">
      <formula>D18&lt;20</formula>
    </cfRule>
  </conditionalFormatting>
  <conditionalFormatting sqref="D19:K19">
    <cfRule type="expression" dxfId="120" priority="80" stopIfTrue="1">
      <formula>D20&lt;20</formula>
    </cfRule>
  </conditionalFormatting>
  <conditionalFormatting sqref="D21:K21">
    <cfRule type="expression" dxfId="119" priority="60" stopIfTrue="1">
      <formula>D22&lt;20</formula>
    </cfRule>
  </conditionalFormatting>
  <conditionalFormatting sqref="D23:K23">
    <cfRule type="expression" dxfId="118" priority="78" stopIfTrue="1">
      <formula>D24&lt;20</formula>
    </cfRule>
  </conditionalFormatting>
  <conditionalFormatting sqref="D25:K25">
    <cfRule type="expression" dxfId="117" priority="58" stopIfTrue="1">
      <formula>D26&lt;20</formula>
    </cfRule>
  </conditionalFormatting>
  <conditionalFormatting sqref="D27:K27">
    <cfRule type="expression" dxfId="116" priority="76" stopIfTrue="1">
      <formula>D28&lt;20</formula>
    </cfRule>
  </conditionalFormatting>
  <conditionalFormatting sqref="D29:K29">
    <cfRule type="expression" dxfId="115" priority="56" stopIfTrue="1">
      <formula>D30&lt;20</formula>
    </cfRule>
  </conditionalFormatting>
  <conditionalFormatting sqref="D31:K31">
    <cfRule type="expression" dxfId="114" priority="74" stopIfTrue="1">
      <formula>D32&lt;20</formula>
    </cfRule>
  </conditionalFormatting>
  <conditionalFormatting sqref="D33:K33">
    <cfRule type="expression" dxfId="113" priority="54" stopIfTrue="1">
      <formula>D34&lt;20</formula>
    </cfRule>
  </conditionalFormatting>
  <conditionalFormatting sqref="D35:K35">
    <cfRule type="expression" dxfId="112" priority="72" stopIfTrue="1">
      <formula>D36&lt;20</formula>
    </cfRule>
  </conditionalFormatting>
  <conditionalFormatting sqref="D37:K37">
    <cfRule type="expression" dxfId="111" priority="52" stopIfTrue="1">
      <formula>D38&lt;20</formula>
    </cfRule>
  </conditionalFormatting>
  <conditionalFormatting sqref="D39:K39">
    <cfRule type="expression" dxfId="110" priority="70" stopIfTrue="1">
      <formula>D40&lt;20</formula>
    </cfRule>
  </conditionalFormatting>
  <conditionalFormatting sqref="D41:K41">
    <cfRule type="expression" dxfId="109" priority="50" stopIfTrue="1">
      <formula>D42&lt;20</formula>
    </cfRule>
  </conditionalFormatting>
  <conditionalFormatting sqref="D43:K43">
    <cfRule type="expression" dxfId="108" priority="68" stopIfTrue="1">
      <formula>D44&lt;20</formula>
    </cfRule>
  </conditionalFormatting>
  <conditionalFormatting sqref="D45:K45">
    <cfRule type="expression" dxfId="107" priority="48" stopIfTrue="1">
      <formula>D46&lt;20</formula>
    </cfRule>
  </conditionalFormatting>
  <conditionalFormatting sqref="D47:K47">
    <cfRule type="expression" dxfId="106" priority="66" stopIfTrue="1">
      <formula>D48&lt;20</formula>
    </cfRule>
  </conditionalFormatting>
  <conditionalFormatting sqref="D49:K49">
    <cfRule type="expression" dxfId="105" priority="46" stopIfTrue="1">
      <formula>D50&lt;20</formula>
    </cfRule>
  </conditionalFormatting>
  <conditionalFormatting sqref="D51:K51">
    <cfRule type="expression" dxfId="104" priority="64" stopIfTrue="1">
      <formula>D52&lt;20</formula>
    </cfRule>
  </conditionalFormatting>
  <conditionalFormatting sqref="D53:K53">
    <cfRule type="expression" dxfId="103" priority="44" stopIfTrue="1">
      <formula>D54&lt;20</formula>
    </cfRule>
  </conditionalFormatting>
  <conditionalFormatting sqref="D55:K55">
    <cfRule type="expression" dxfId="102" priority="62" stopIfTrue="1">
      <formula>D56&lt;20</formula>
    </cfRule>
  </conditionalFormatting>
  <dataValidations count="4">
    <dataValidation type="whole" allowBlank="1" showInputMessage="1" showErrorMessage="1" sqref="D3:E3" xr:uid="{E1EE40E1-7BAA-449C-BAC5-BFB7DF771B1F}">
      <formula1>30</formula1>
      <formula2>90</formula2>
    </dataValidation>
    <dataValidation type="whole" allowBlank="1" showInputMessage="1" showErrorMessage="1" sqref="D4:E4" xr:uid="{3BED83E3-04F7-48E4-B2DD-8D1BD0CAC230}">
      <formula1>25</formula1>
      <formula2>85</formula2>
    </dataValidation>
    <dataValidation type="whole" allowBlank="1" showInputMessage="1" showErrorMessage="1" sqref="D5:E5" xr:uid="{7B2AA0D4-7268-472F-BF9C-6459B1CB44BC}">
      <formula1>15</formula1>
      <formula2>29</formula2>
    </dataValidation>
    <dataValidation type="whole" allowBlank="1" showInputMessage="1" showErrorMessage="1" sqref="F3:F5" xr:uid="{A25B4B6E-D045-43BE-84CF-C63DD59FFF45}">
      <formula1>2</formula1>
      <formula2>3</formula2>
    </dataValidation>
  </dataValidations>
  <pageMargins left="0.59055118110236227" right="0.39370078740157483" top="1.1811023622047245" bottom="0.78740157480314965" header="0.51181102362204722" footer="0.51181102362204722"/>
  <pageSetup paperSize="9" orientation="portrait" r:id="rId1"/>
  <headerFooter alignWithMargins="0">
    <oddHeader xml:space="preserve">&amp;C&amp;11&amp;G
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06FCC2C5-A36A-4ECD-A439-01BFA496BF4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D18</xm:sqref>
        </x14:conditionalFormatting>
        <x14:conditionalFormatting xmlns:xm="http://schemas.microsoft.com/office/excel/2006/main">
          <x14:cfRule type="iconSet" priority="41" id="{9F38DF88-EFA2-4AEC-9E6F-6D963E111C4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D20</xm:sqref>
        </x14:conditionalFormatting>
        <x14:conditionalFormatting xmlns:xm="http://schemas.microsoft.com/office/excel/2006/main">
          <x14:cfRule type="iconSet" priority="21" id="{23987830-40F5-451D-B1D7-73EDA22F9F2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D22</xm:sqref>
        </x14:conditionalFormatting>
        <x14:conditionalFormatting xmlns:xm="http://schemas.microsoft.com/office/excel/2006/main">
          <x14:cfRule type="iconSet" priority="39" id="{6CA6DF63-2047-4C47-A28D-B10706AA5E4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D24</xm:sqref>
        </x14:conditionalFormatting>
        <x14:conditionalFormatting xmlns:xm="http://schemas.microsoft.com/office/excel/2006/main">
          <x14:cfRule type="iconSet" priority="19" id="{0643237F-2904-45CE-86A9-19391D72550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D26</xm:sqref>
        </x14:conditionalFormatting>
        <x14:conditionalFormatting xmlns:xm="http://schemas.microsoft.com/office/excel/2006/main">
          <x14:cfRule type="iconSet" priority="37" id="{FAFDF065-9338-4DFE-A608-44A5D6731A6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D28</xm:sqref>
        </x14:conditionalFormatting>
        <x14:conditionalFormatting xmlns:xm="http://schemas.microsoft.com/office/excel/2006/main">
          <x14:cfRule type="iconSet" priority="17" id="{F2C23FC1-7778-4101-912F-C34891BA1BD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D30</xm:sqref>
        </x14:conditionalFormatting>
        <x14:conditionalFormatting xmlns:xm="http://schemas.microsoft.com/office/excel/2006/main">
          <x14:cfRule type="iconSet" priority="35" id="{6BF82138-AFCA-4C74-94A1-AD97DA94C3C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D32</xm:sqref>
        </x14:conditionalFormatting>
        <x14:conditionalFormatting xmlns:xm="http://schemas.microsoft.com/office/excel/2006/main">
          <x14:cfRule type="iconSet" priority="15" id="{CB607881-8316-4BC7-B041-ED324D9F5A7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D34</xm:sqref>
        </x14:conditionalFormatting>
        <x14:conditionalFormatting xmlns:xm="http://schemas.microsoft.com/office/excel/2006/main">
          <x14:cfRule type="iconSet" priority="33" id="{72CC1BE6-BC7E-4244-B575-37595C6E486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D36</xm:sqref>
        </x14:conditionalFormatting>
        <x14:conditionalFormatting xmlns:xm="http://schemas.microsoft.com/office/excel/2006/main">
          <x14:cfRule type="iconSet" priority="13" id="{D6210CB9-31C5-439F-B9E3-027BFA8F3D2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D38</xm:sqref>
        </x14:conditionalFormatting>
        <x14:conditionalFormatting xmlns:xm="http://schemas.microsoft.com/office/excel/2006/main">
          <x14:cfRule type="iconSet" priority="31" id="{46AADA9C-D082-4B4F-BCD0-41FD3E838D0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D40</xm:sqref>
        </x14:conditionalFormatting>
        <x14:conditionalFormatting xmlns:xm="http://schemas.microsoft.com/office/excel/2006/main">
          <x14:cfRule type="iconSet" priority="11" id="{F11C2FFC-F041-4D44-87BE-38DD73BF777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D42</xm:sqref>
        </x14:conditionalFormatting>
        <x14:conditionalFormatting xmlns:xm="http://schemas.microsoft.com/office/excel/2006/main">
          <x14:cfRule type="iconSet" priority="29" id="{4B841C4E-F080-4D44-B8FB-FF52DE22F7A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D44</xm:sqref>
        </x14:conditionalFormatting>
        <x14:conditionalFormatting xmlns:xm="http://schemas.microsoft.com/office/excel/2006/main">
          <x14:cfRule type="iconSet" priority="9" id="{3D82C936-F40B-4304-925B-C26E295C140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D46</xm:sqref>
        </x14:conditionalFormatting>
        <x14:conditionalFormatting xmlns:xm="http://schemas.microsoft.com/office/excel/2006/main">
          <x14:cfRule type="iconSet" priority="27" id="{F40376C9-A4FC-40AC-BF43-B56D12B5B60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D48</xm:sqref>
        </x14:conditionalFormatting>
        <x14:conditionalFormatting xmlns:xm="http://schemas.microsoft.com/office/excel/2006/main">
          <x14:cfRule type="iconSet" priority="7" id="{0DBABB23-5A30-445D-9E97-12E8F115CAB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D50</xm:sqref>
        </x14:conditionalFormatting>
        <x14:conditionalFormatting xmlns:xm="http://schemas.microsoft.com/office/excel/2006/main">
          <x14:cfRule type="iconSet" priority="25" id="{48BE1867-2F87-4826-9573-452A5028BA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D52</xm:sqref>
        </x14:conditionalFormatting>
        <x14:conditionalFormatting xmlns:xm="http://schemas.microsoft.com/office/excel/2006/main">
          <x14:cfRule type="iconSet" priority="5" id="{2A8663BF-9C97-4B67-B3F3-BF424D42088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D54</xm:sqref>
        </x14:conditionalFormatting>
        <x14:conditionalFormatting xmlns:xm="http://schemas.microsoft.com/office/excel/2006/main">
          <x14:cfRule type="iconSet" priority="23" id="{96BFDD4B-7D7D-429F-BE52-FBF044C62DD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D56</xm:sqref>
        </x14:conditionalFormatting>
        <x14:conditionalFormatting xmlns:xm="http://schemas.microsoft.com/office/excel/2006/main">
          <x14:cfRule type="iconSet" priority="42" id="{472E7179-DABF-4358-B847-ECCDC05A04B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E18:K18</xm:sqref>
        </x14:conditionalFormatting>
        <x14:conditionalFormatting xmlns:xm="http://schemas.microsoft.com/office/excel/2006/main">
          <x14:cfRule type="iconSet" priority="40" id="{4A409385-3712-45CF-9606-78A308A7AAD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E20:K20</xm:sqref>
        </x14:conditionalFormatting>
        <x14:conditionalFormatting xmlns:xm="http://schemas.microsoft.com/office/excel/2006/main">
          <x14:cfRule type="iconSet" priority="20" id="{DBF2E4EC-26B0-473B-A83A-37236DB39B1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E22:K22</xm:sqref>
        </x14:conditionalFormatting>
        <x14:conditionalFormatting xmlns:xm="http://schemas.microsoft.com/office/excel/2006/main">
          <x14:cfRule type="iconSet" priority="38" id="{7268E7C1-57AE-48F5-B455-753D1837018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E24:K24</xm:sqref>
        </x14:conditionalFormatting>
        <x14:conditionalFormatting xmlns:xm="http://schemas.microsoft.com/office/excel/2006/main">
          <x14:cfRule type="iconSet" priority="18" id="{0A80DF01-9DFA-4398-9186-620204A2CBA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E26:K26</xm:sqref>
        </x14:conditionalFormatting>
        <x14:conditionalFormatting xmlns:xm="http://schemas.microsoft.com/office/excel/2006/main">
          <x14:cfRule type="iconSet" priority="36" id="{059FAA5F-2016-459F-902B-7830CBF05C0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E28:K28</xm:sqref>
        </x14:conditionalFormatting>
        <x14:conditionalFormatting xmlns:xm="http://schemas.microsoft.com/office/excel/2006/main">
          <x14:cfRule type="iconSet" priority="16" id="{3A784039-CFE6-4059-960D-5BC6EA7598F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E30:K30</xm:sqref>
        </x14:conditionalFormatting>
        <x14:conditionalFormatting xmlns:xm="http://schemas.microsoft.com/office/excel/2006/main">
          <x14:cfRule type="iconSet" priority="34" id="{97C683C5-0766-401B-B752-5CD74D08FF6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E32:K32</xm:sqref>
        </x14:conditionalFormatting>
        <x14:conditionalFormatting xmlns:xm="http://schemas.microsoft.com/office/excel/2006/main">
          <x14:cfRule type="iconSet" priority="14" id="{597341FD-8986-4E32-8B42-348116AE962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E34:K34</xm:sqref>
        </x14:conditionalFormatting>
        <x14:conditionalFormatting xmlns:xm="http://schemas.microsoft.com/office/excel/2006/main">
          <x14:cfRule type="iconSet" priority="32" id="{CF794FE7-BA64-4E84-AFAA-95A1436E2A0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E36:K36</xm:sqref>
        </x14:conditionalFormatting>
        <x14:conditionalFormatting xmlns:xm="http://schemas.microsoft.com/office/excel/2006/main">
          <x14:cfRule type="iconSet" priority="12" id="{A8455B05-BC0C-4105-865F-7E96BC1750D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E38:K38</xm:sqref>
        </x14:conditionalFormatting>
        <x14:conditionalFormatting xmlns:xm="http://schemas.microsoft.com/office/excel/2006/main">
          <x14:cfRule type="iconSet" priority="30" id="{2B574CF5-DC28-4C7B-94CE-02DB2787540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E40:K40</xm:sqref>
        </x14:conditionalFormatting>
        <x14:conditionalFormatting xmlns:xm="http://schemas.microsoft.com/office/excel/2006/main">
          <x14:cfRule type="iconSet" priority="10" id="{6112BD21-7177-41A0-B529-68718C364B9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E42:K42</xm:sqref>
        </x14:conditionalFormatting>
        <x14:conditionalFormatting xmlns:xm="http://schemas.microsoft.com/office/excel/2006/main">
          <x14:cfRule type="iconSet" priority="28" id="{CDA92282-975D-4D80-8AC6-911AA5D8933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E44:K44</xm:sqref>
        </x14:conditionalFormatting>
        <x14:conditionalFormatting xmlns:xm="http://schemas.microsoft.com/office/excel/2006/main">
          <x14:cfRule type="iconSet" priority="8" id="{DFB913F4-B88B-4431-80EB-D85D94AEEBA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E46:K46</xm:sqref>
        </x14:conditionalFormatting>
        <x14:conditionalFormatting xmlns:xm="http://schemas.microsoft.com/office/excel/2006/main">
          <x14:cfRule type="iconSet" priority="26" id="{FDE06C56-DE46-4D1A-AA59-D808E5CB824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E48:K48</xm:sqref>
        </x14:conditionalFormatting>
        <x14:conditionalFormatting xmlns:xm="http://schemas.microsoft.com/office/excel/2006/main">
          <x14:cfRule type="iconSet" priority="6" id="{BA0988A3-DF2D-4843-9FE5-71B6928E7D0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E50:K50</xm:sqref>
        </x14:conditionalFormatting>
        <x14:conditionalFormatting xmlns:xm="http://schemas.microsoft.com/office/excel/2006/main">
          <x14:cfRule type="iconSet" priority="24" id="{987959B4-A439-4CA2-B2E0-DEC16B12C5D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E52:K52</xm:sqref>
        </x14:conditionalFormatting>
        <x14:conditionalFormatting xmlns:xm="http://schemas.microsoft.com/office/excel/2006/main">
          <x14:cfRule type="iconSet" priority="4" id="{DC4C54D7-FD30-4E1C-B2D7-6DF04DC30C3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E54:K54</xm:sqref>
        </x14:conditionalFormatting>
        <x14:conditionalFormatting xmlns:xm="http://schemas.microsoft.com/office/excel/2006/main">
          <x14:cfRule type="iconSet" priority="22" id="{95FC5A4A-27E3-4898-999E-13DC6D3E8EE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E56:K56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B2CB4-FDC0-4FA9-ADBF-1F45DB26CC43}">
  <dimension ref="A1:L63"/>
  <sheetViews>
    <sheetView showGridLines="0" showRowColHeaders="0" workbookViewId="0">
      <selection activeCell="G3" sqref="G3:H3"/>
    </sheetView>
  </sheetViews>
  <sheetFormatPr baseColWidth="10" defaultColWidth="0" defaultRowHeight="12.75" zeroHeight="1" x14ac:dyDescent="0.2"/>
  <cols>
    <col min="1" max="1" width="2.7109375" style="101" customWidth="1"/>
    <col min="2" max="2" width="3.5703125" style="101" customWidth="1"/>
    <col min="3" max="3" width="6.7109375" style="140" customWidth="1"/>
    <col min="4" max="10" width="10.28515625" style="140" customWidth="1"/>
    <col min="11" max="11" width="10.28515625" style="101" customWidth="1"/>
    <col min="12" max="12" width="2.7109375" style="101" customWidth="1"/>
    <col min="13" max="16384" width="11.42578125" style="101" hidden="1"/>
  </cols>
  <sheetData>
    <row r="1" spans="2:12" x14ac:dyDescent="0.2"/>
    <row r="2" spans="2:12" ht="15" x14ac:dyDescent="0.25">
      <c r="B2"/>
      <c r="C2" s="101"/>
      <c r="D2" s="494" t="s">
        <v>936</v>
      </c>
      <c r="E2" s="494"/>
      <c r="F2" s="283" t="s">
        <v>938</v>
      </c>
    </row>
    <row r="3" spans="2:12" ht="23.25" x14ac:dyDescent="0.35">
      <c r="B3" s="453" t="s">
        <v>933</v>
      </c>
      <c r="C3" s="453"/>
      <c r="D3" s="495">
        <v>75</v>
      </c>
      <c r="E3" s="495"/>
      <c r="F3" s="432">
        <v>2</v>
      </c>
    </row>
    <row r="4" spans="2:12" ht="23.25" x14ac:dyDescent="0.35">
      <c r="B4" s="453" t="s">
        <v>934</v>
      </c>
      <c r="C4" s="453"/>
      <c r="D4" s="495">
        <v>65</v>
      </c>
      <c r="E4" s="495"/>
      <c r="F4" s="432"/>
      <c r="H4" s="287" t="str">
        <f>IF(OR((D3-D4)&lt;3,(D4-D5)&lt;3,(D3-D4)&gt;25,D5&lt;15,ISERROR(D17)),"Bitte überprüfen Sie ihre Eingaben!","")</f>
        <v/>
      </c>
    </row>
    <row r="5" spans="2:12" ht="23.25" x14ac:dyDescent="0.35">
      <c r="B5" s="453" t="s">
        <v>935</v>
      </c>
      <c r="C5" s="453"/>
      <c r="D5" s="495">
        <v>20</v>
      </c>
      <c r="E5" s="495"/>
      <c r="F5" s="432"/>
    </row>
    <row r="6" spans="2:12" x14ac:dyDescent="0.2"/>
    <row r="7" spans="2:12" ht="25.5" customHeight="1" x14ac:dyDescent="0.4">
      <c r="B7" s="184" t="str">
        <f>VLOOKUP(48,TXT,$F$3,0)</f>
        <v>Bodenkonvektor Modell LIB-090</v>
      </c>
      <c r="C7" s="185"/>
      <c r="D7" s="185"/>
      <c r="E7" s="185"/>
      <c r="F7" s="185"/>
      <c r="G7" s="185"/>
      <c r="H7" s="185"/>
      <c r="I7" s="185"/>
      <c r="J7" s="185"/>
      <c r="K7" s="185"/>
      <c r="L7" s="170"/>
    </row>
    <row r="8" spans="2:12" ht="17.25" customHeight="1" x14ac:dyDescent="0.4">
      <c r="B8" s="186" t="str">
        <f>VLOOKUP(47,TXT,$F$3,0)</f>
        <v>für freie Konvektion</v>
      </c>
      <c r="C8" s="186"/>
      <c r="D8" s="186"/>
      <c r="E8" s="186"/>
      <c r="F8" s="186"/>
      <c r="G8" s="186"/>
      <c r="H8" s="186"/>
      <c r="I8" s="186"/>
      <c r="J8" s="186"/>
      <c r="K8" s="186"/>
      <c r="L8" s="170"/>
    </row>
    <row r="9" spans="2:12" x14ac:dyDescent="0.2"/>
    <row r="10" spans="2:12" ht="23.25" x14ac:dyDescent="0.2">
      <c r="B10" s="499" t="str">
        <f>VLOOKUP(10,TXT,$F$3,0)</f>
        <v>Heizmedium</v>
      </c>
      <c r="C10" s="499"/>
      <c r="D10" s="499"/>
      <c r="E10" s="500" t="str">
        <f>CONCATENATE(D3,"° / ",D4," °C")</f>
        <v>75° / 65 °C</v>
      </c>
      <c r="F10" s="500"/>
      <c r="G10" s="500"/>
      <c r="H10" s="501">
        <f>SUM(D5)</f>
        <v>20</v>
      </c>
      <c r="I10" s="501"/>
      <c r="J10" s="502"/>
      <c r="K10" s="502"/>
    </row>
    <row r="11" spans="2:12" x14ac:dyDescent="0.2"/>
    <row r="12" spans="2:12" ht="17.25" customHeight="1" x14ac:dyDescent="0.25">
      <c r="B12" s="503" t="str">
        <f>VLOOKUP(9,TXT,$F$3,0)</f>
        <v>Modell</v>
      </c>
      <c r="C12" s="503"/>
      <c r="D12" s="173" t="s">
        <v>1397</v>
      </c>
      <c r="E12" s="173" t="s">
        <v>1387</v>
      </c>
      <c r="F12" s="173" t="s">
        <v>1388</v>
      </c>
      <c r="G12" s="173" t="s">
        <v>1389</v>
      </c>
      <c r="H12" s="173" t="s">
        <v>1390</v>
      </c>
      <c r="I12" s="173" t="s">
        <v>1391</v>
      </c>
      <c r="J12" s="173" t="s">
        <v>1392</v>
      </c>
      <c r="K12" s="173" t="s">
        <v>1393</v>
      </c>
    </row>
    <row r="13" spans="2:12" x14ac:dyDescent="0.2">
      <c r="B13" s="504" t="s">
        <v>1351</v>
      </c>
      <c r="C13" s="504"/>
      <c r="D13" s="187">
        <v>144</v>
      </c>
      <c r="E13" s="187">
        <v>176</v>
      </c>
      <c r="F13" s="187">
        <v>224</v>
      </c>
      <c r="G13" s="187">
        <v>240</v>
      </c>
      <c r="H13" s="187">
        <v>272</v>
      </c>
      <c r="I13" s="187">
        <v>304</v>
      </c>
      <c r="J13" s="187">
        <v>336</v>
      </c>
      <c r="K13" s="187">
        <v>368</v>
      </c>
    </row>
    <row r="14" spans="2:12" x14ac:dyDescent="0.2">
      <c r="B14" s="504" t="s">
        <v>1352</v>
      </c>
      <c r="C14" s="504"/>
      <c r="D14" s="187">
        <v>90</v>
      </c>
      <c r="E14" s="187">
        <v>90</v>
      </c>
      <c r="F14" s="187">
        <v>90</v>
      </c>
      <c r="G14" s="187">
        <v>90</v>
      </c>
      <c r="H14" s="187">
        <v>90</v>
      </c>
      <c r="I14" s="187">
        <v>90</v>
      </c>
      <c r="J14" s="187">
        <v>90</v>
      </c>
      <c r="K14" s="187">
        <v>90</v>
      </c>
    </row>
    <row r="15" spans="2:12" x14ac:dyDescent="0.2">
      <c r="B15" s="174"/>
      <c r="C15" s="174"/>
      <c r="D15" s="187" t="s">
        <v>1353</v>
      </c>
      <c r="E15" s="187" t="s">
        <v>1394</v>
      </c>
      <c r="F15" s="187" t="s">
        <v>1395</v>
      </c>
      <c r="G15" s="187" t="s">
        <v>1395</v>
      </c>
      <c r="H15" s="187" t="s">
        <v>1395</v>
      </c>
      <c r="I15" s="187" t="s">
        <v>1395</v>
      </c>
      <c r="J15" s="187" t="s">
        <v>1396</v>
      </c>
      <c r="K15" s="187" t="s">
        <v>1396</v>
      </c>
    </row>
    <row r="16" spans="2:12" ht="18.75" customHeight="1" x14ac:dyDescent="0.2">
      <c r="B16" s="504" t="s">
        <v>1356</v>
      </c>
      <c r="C16" s="504"/>
      <c r="D16" s="505" t="str">
        <f>VLOOKUP(13,TXT,$F$3,0)</f>
        <v>Leistungen [W]</v>
      </c>
      <c r="E16" s="497"/>
      <c r="F16" s="497"/>
      <c r="G16" s="497"/>
      <c r="H16" s="497" t="str">
        <f>VLOOKUP(45,TXT,$F$3,0)</f>
        <v>Wassermassenstrom [kg/h] *</v>
      </c>
      <c r="I16" s="497"/>
      <c r="J16" s="497"/>
      <c r="K16" s="498"/>
    </row>
    <row r="17" spans="2:11" ht="12.75" customHeight="1" x14ac:dyDescent="0.2">
      <c r="B17" s="484">
        <v>750</v>
      </c>
      <c r="C17" s="484"/>
      <c r="D17" s="188">
        <f>ROUND('BASE-C90'!B2*(VLOOKUP(ROUND(((($D$3+$D$4)/2)-$D$5),3),FAKT_C109,2,-1)),0)</f>
        <v>68</v>
      </c>
      <c r="E17" s="175">
        <f>ROUND('BASE-C90'!C2*(VLOOKUP(ROUND(((($D$3+$D$4)/2)-$D$5),3),FAKT_C109,2,-1)),0)</f>
        <v>82</v>
      </c>
      <c r="F17" s="175">
        <f>ROUND('BASE-C90'!D2*(VLOOKUP(ROUND(((($D$3+$D$4)/2)-$D$5),3),FAKT_C109,2,-1)),0)</f>
        <v>107</v>
      </c>
      <c r="G17" s="175">
        <f>ROUND('BASE-C90'!E2*(VLOOKUP(ROUND(((($D$3+$D$4)/2)-$D$5),3),FAKT_C109,2,-1)),0)</f>
        <v>110</v>
      </c>
      <c r="H17" s="175">
        <f>ROUND('BASE-C90'!F2*(VLOOKUP(ROUND(((($D$3+$D$4)/2)-$D$5),3),FAKT_C109,2,-1)),0)</f>
        <v>122</v>
      </c>
      <c r="I17" s="175">
        <f>ROUND('BASE-C90'!G2*(VLOOKUP(ROUND(((($D$3+$D$4)/2)-$D$5),3),FAKT_C109,2,-1)),0)</f>
        <v>130</v>
      </c>
      <c r="J17" s="175">
        <f>ROUND('BASE-C90'!H2*(VLOOKUP(ROUND(((($D$3+$D$4)/2)-$D$5),3),FAKT_C109,2,-1)),0)</f>
        <v>164</v>
      </c>
      <c r="K17" s="176">
        <f>ROUND('BASE-C90'!I2*(VLOOKUP(ROUND(((($D$3+$D$4)/2)-$D$5),3),FAKT_C109,2,-1)),0)</f>
        <v>189</v>
      </c>
    </row>
    <row r="18" spans="2:11" ht="12.75" customHeight="1" x14ac:dyDescent="0.2">
      <c r="B18" s="484"/>
      <c r="C18" s="484"/>
      <c r="D18" s="189">
        <f t="shared" ref="D18:K18" si="0">ROUNDDOWN(D17/(1.161*($D$3-$D$4)),0)</f>
        <v>5</v>
      </c>
      <c r="E18" s="177">
        <f t="shared" si="0"/>
        <v>7</v>
      </c>
      <c r="F18" s="177">
        <f t="shared" si="0"/>
        <v>9</v>
      </c>
      <c r="G18" s="177">
        <f t="shared" si="0"/>
        <v>9</v>
      </c>
      <c r="H18" s="177">
        <f t="shared" si="0"/>
        <v>10</v>
      </c>
      <c r="I18" s="177">
        <f t="shared" si="0"/>
        <v>11</v>
      </c>
      <c r="J18" s="177">
        <f t="shared" si="0"/>
        <v>14</v>
      </c>
      <c r="K18" s="178">
        <f t="shared" si="0"/>
        <v>16</v>
      </c>
    </row>
    <row r="19" spans="2:11" ht="12.75" customHeight="1" x14ac:dyDescent="0.2">
      <c r="B19" s="496">
        <v>850</v>
      </c>
      <c r="C19" s="496">
        <v>1000</v>
      </c>
      <c r="D19" s="190">
        <f>ROUND('BASE-C90'!B3*(VLOOKUP(ROUND(((($D$3+$D$4)/2)-$D$5),3),FAKT_C109,2,-1)),0)</f>
        <v>86</v>
      </c>
      <c r="E19" s="179">
        <f>ROUND('BASE-C90'!C3*(VLOOKUP(ROUND(((($D$3+$D$4)/2)-$D$5),3),FAKT_C109,2,-1)),0)</f>
        <v>103</v>
      </c>
      <c r="F19" s="179">
        <f>ROUND('BASE-C90'!D3*(VLOOKUP(ROUND(((($D$3+$D$4)/2)-$D$5),3),FAKT_C109,2,-1)),0)</f>
        <v>135</v>
      </c>
      <c r="G19" s="179">
        <f>ROUND('BASE-C90'!E3*(VLOOKUP(ROUND(((($D$3+$D$4)/2)-$D$5),3),FAKT_C109,2,-1)),0)</f>
        <v>139</v>
      </c>
      <c r="H19" s="179">
        <f>ROUND('BASE-C90'!F3*(VLOOKUP(ROUND(((($D$3+$D$4)/2)-$D$5),3),FAKT_C109,2,-1)),0)</f>
        <v>154</v>
      </c>
      <c r="I19" s="179">
        <f>ROUND('BASE-C90'!G3*(VLOOKUP(ROUND(((($D$3+$D$4)/2)-$D$5),3),FAKT_C109,2,-1)),0)</f>
        <v>163</v>
      </c>
      <c r="J19" s="179">
        <f>ROUND('BASE-C90'!H3*(VLOOKUP(ROUND(((($D$3+$D$4)/2)-$D$5),3),FAKT_C109,2,-1)),0)</f>
        <v>204</v>
      </c>
      <c r="K19" s="180">
        <f>ROUND('BASE-C90'!I3*(VLOOKUP(ROUND(((($D$3+$D$4)/2)-$D$5),3),FAKT_C109,2,-1)),0)</f>
        <v>235</v>
      </c>
    </row>
    <row r="20" spans="2:11" ht="12.75" customHeight="1" x14ac:dyDescent="0.2">
      <c r="B20" s="496"/>
      <c r="C20" s="496"/>
      <c r="D20" s="191">
        <f t="shared" ref="D20:K20" si="1">ROUNDDOWN(D19/(1.161*($D$3-$D$4)),0)</f>
        <v>7</v>
      </c>
      <c r="E20" s="181">
        <f t="shared" si="1"/>
        <v>8</v>
      </c>
      <c r="F20" s="181">
        <f t="shared" si="1"/>
        <v>11</v>
      </c>
      <c r="G20" s="181">
        <f t="shared" si="1"/>
        <v>11</v>
      </c>
      <c r="H20" s="181">
        <f t="shared" si="1"/>
        <v>13</v>
      </c>
      <c r="I20" s="181">
        <f t="shared" si="1"/>
        <v>14</v>
      </c>
      <c r="J20" s="181">
        <f t="shared" si="1"/>
        <v>17</v>
      </c>
      <c r="K20" s="182">
        <f t="shared" si="1"/>
        <v>20</v>
      </c>
    </row>
    <row r="21" spans="2:11" ht="12.75" customHeight="1" x14ac:dyDescent="0.2">
      <c r="B21" s="482">
        <v>950</v>
      </c>
      <c r="C21" s="482"/>
      <c r="D21" s="188">
        <f>ROUND('BASE-C90'!B4*(VLOOKUP(ROUND(((($D$3+$D$4)/2)-$D$5),3),FAKT_C109,2,-1)),0)</f>
        <v>103</v>
      </c>
      <c r="E21" s="175">
        <f>ROUND('BASE-C90'!C4*(VLOOKUP(ROUND(((($D$3+$D$4)/2)-$D$5),3),FAKT_C109,2,-1)),0)</f>
        <v>125</v>
      </c>
      <c r="F21" s="175">
        <f>ROUND('BASE-C90'!D4*(VLOOKUP(ROUND(((($D$3+$D$4)/2)-$D$5),3),FAKT_C109,2,-1)),0)</f>
        <v>163</v>
      </c>
      <c r="G21" s="175">
        <f>ROUND('BASE-C90'!E4*(VLOOKUP(ROUND(((($D$3+$D$4)/2)-$D$5),3),FAKT_C109,2,-1)),0)</f>
        <v>167</v>
      </c>
      <c r="H21" s="175">
        <f>ROUND('BASE-C90'!F4*(VLOOKUP(ROUND(((($D$3+$D$4)/2)-$D$5),3),FAKT_C109,2,-1)),0)</f>
        <v>185</v>
      </c>
      <c r="I21" s="175">
        <f>ROUND('BASE-C90'!G4*(VLOOKUP(ROUND(((($D$3+$D$4)/2)-$D$5),3),FAKT_C109,2,-1)),0)</f>
        <v>197</v>
      </c>
      <c r="J21" s="175">
        <f>ROUND('BASE-C90'!H4*(VLOOKUP(ROUND(((($D$3+$D$4)/2)-$D$5),3),FAKT_C109,2,-1)),0)</f>
        <v>245</v>
      </c>
      <c r="K21" s="176">
        <f>ROUND('BASE-C90'!I4*(VLOOKUP(ROUND(((($D$3+$D$4)/2)-$D$5),3),FAKT_C109,2,-1)),0)</f>
        <v>281</v>
      </c>
    </row>
    <row r="22" spans="2:11" ht="12.75" customHeight="1" x14ac:dyDescent="0.2">
      <c r="B22" s="482"/>
      <c r="C22" s="482"/>
      <c r="D22" s="189">
        <f t="shared" ref="D22:K22" si="2">ROUNDDOWN(D21/(1.161*($D$3-$D$4)),0)</f>
        <v>8</v>
      </c>
      <c r="E22" s="177">
        <f t="shared" si="2"/>
        <v>10</v>
      </c>
      <c r="F22" s="177">
        <f t="shared" si="2"/>
        <v>14</v>
      </c>
      <c r="G22" s="177">
        <f t="shared" si="2"/>
        <v>14</v>
      </c>
      <c r="H22" s="177">
        <f t="shared" si="2"/>
        <v>15</v>
      </c>
      <c r="I22" s="177">
        <f t="shared" si="2"/>
        <v>16</v>
      </c>
      <c r="J22" s="177">
        <f t="shared" si="2"/>
        <v>21</v>
      </c>
      <c r="K22" s="178">
        <f t="shared" si="2"/>
        <v>24</v>
      </c>
    </row>
    <row r="23" spans="2:11" ht="12.75" customHeight="1" x14ac:dyDescent="0.2">
      <c r="B23" s="496">
        <v>1050</v>
      </c>
      <c r="C23" s="496"/>
      <c r="D23" s="190">
        <f>ROUND('BASE-C90'!B5*(VLOOKUP(ROUND(((($D$3+$D$4)/2)-$D$5),3),FAKT_C109,2,-1)),0)</f>
        <v>120</v>
      </c>
      <c r="E23" s="179">
        <f>ROUND('BASE-C90'!C5*(VLOOKUP(ROUND(((($D$3+$D$4)/2)-$D$5),3),FAKT_C109,2,-1)),0)</f>
        <v>146</v>
      </c>
      <c r="F23" s="179">
        <f>ROUND('BASE-C90'!D5*(VLOOKUP(ROUND(((($D$3+$D$4)/2)-$D$5),3),FAKT_C109,2,-1)),0)</f>
        <v>190</v>
      </c>
      <c r="G23" s="179">
        <f>ROUND('BASE-C90'!E5*(VLOOKUP(ROUND(((($D$3+$D$4)/2)-$D$5),3),FAKT_C109,2,-1)),0)</f>
        <v>196</v>
      </c>
      <c r="H23" s="179">
        <f>ROUND('BASE-C90'!F5*(VLOOKUP(ROUND(((($D$3+$D$4)/2)-$D$5),3),FAKT_C109,2,-1)),0)</f>
        <v>217</v>
      </c>
      <c r="I23" s="179">
        <f>ROUND('BASE-C90'!G5*(VLOOKUP(ROUND(((($D$3+$D$4)/2)-$D$5),3),FAKT_C109,2,-1)),0)</f>
        <v>230</v>
      </c>
      <c r="J23" s="179">
        <f>ROUND('BASE-C90'!H5*(VLOOKUP(ROUND(((($D$3+$D$4)/2)-$D$5),3),FAKT_C109,2,-1)),0)</f>
        <v>285</v>
      </c>
      <c r="K23" s="180">
        <f>ROUND('BASE-C90'!I5*(VLOOKUP(ROUND(((($D$3+$D$4)/2)-$D$5),3),FAKT_C109,2,-1)),0)</f>
        <v>328</v>
      </c>
    </row>
    <row r="24" spans="2:11" ht="12.75" customHeight="1" x14ac:dyDescent="0.2">
      <c r="B24" s="496"/>
      <c r="C24" s="496"/>
      <c r="D24" s="191">
        <f t="shared" ref="D24:K24" si="3">ROUNDDOWN(D23/(1.161*($D$3-$D$4)),0)</f>
        <v>10</v>
      </c>
      <c r="E24" s="181">
        <f t="shared" si="3"/>
        <v>12</v>
      </c>
      <c r="F24" s="181">
        <f t="shared" si="3"/>
        <v>16</v>
      </c>
      <c r="G24" s="181">
        <f t="shared" si="3"/>
        <v>16</v>
      </c>
      <c r="H24" s="181">
        <f t="shared" si="3"/>
        <v>18</v>
      </c>
      <c r="I24" s="181">
        <f t="shared" si="3"/>
        <v>19</v>
      </c>
      <c r="J24" s="181">
        <f t="shared" si="3"/>
        <v>24</v>
      </c>
      <c r="K24" s="182">
        <f t="shared" si="3"/>
        <v>28</v>
      </c>
    </row>
    <row r="25" spans="2:11" ht="12.75" customHeight="1" x14ac:dyDescent="0.2">
      <c r="B25" s="482">
        <v>1150</v>
      </c>
      <c r="C25" s="482"/>
      <c r="D25" s="188">
        <f>ROUND('BASE-C90'!B6*(VLOOKUP(ROUND(((($D$3+$D$4)/2)-$D$5),3),FAKT_C109,2,-1)),0)</f>
        <v>137</v>
      </c>
      <c r="E25" s="175">
        <f>ROUND('BASE-C90'!C6*(VLOOKUP(ROUND(((($D$3+$D$4)/2)-$D$5),3),FAKT_C109,2,-1)),0)</f>
        <v>167</v>
      </c>
      <c r="F25" s="175">
        <f>ROUND('BASE-C90'!D6*(VLOOKUP(ROUND(((($D$3+$D$4)/2)-$D$5),3),FAKT_C109,2,-1)),0)</f>
        <v>218</v>
      </c>
      <c r="G25" s="175">
        <f>ROUND('BASE-C90'!E6*(VLOOKUP(ROUND(((($D$3+$D$4)/2)-$D$5),3),FAKT_C109,2,-1)),0)</f>
        <v>224</v>
      </c>
      <c r="H25" s="175">
        <f>ROUND('BASE-C90'!F6*(VLOOKUP(ROUND(((($D$3+$D$4)/2)-$D$5),3),FAKT_C109,2,-1)),0)</f>
        <v>249</v>
      </c>
      <c r="I25" s="175">
        <f>ROUND('BASE-C90'!G6*(VLOOKUP(ROUND(((($D$3+$D$4)/2)-$D$5),3),FAKT_C109,2,-1)),0)</f>
        <v>264</v>
      </c>
      <c r="J25" s="175">
        <f>ROUND('BASE-C90'!H6*(VLOOKUP(ROUND(((($D$3+$D$4)/2)-$D$5),3),FAKT_C109,2,-1)),0)</f>
        <v>325</v>
      </c>
      <c r="K25" s="176">
        <f>ROUND('BASE-C90'!I6*(VLOOKUP(ROUND(((($D$3+$D$4)/2)-$D$5),3),FAKT_C109,2,-1)),0)</f>
        <v>374</v>
      </c>
    </row>
    <row r="26" spans="2:11" ht="12.75" customHeight="1" x14ac:dyDescent="0.2">
      <c r="B26" s="482"/>
      <c r="C26" s="482"/>
      <c r="D26" s="189">
        <f t="shared" ref="D26:K26" si="4">ROUNDDOWN(D25/(1.161*($D$3-$D$4)),0)</f>
        <v>11</v>
      </c>
      <c r="E26" s="177">
        <f t="shared" si="4"/>
        <v>14</v>
      </c>
      <c r="F26" s="177">
        <f t="shared" si="4"/>
        <v>18</v>
      </c>
      <c r="G26" s="177">
        <f t="shared" si="4"/>
        <v>19</v>
      </c>
      <c r="H26" s="177">
        <f t="shared" si="4"/>
        <v>21</v>
      </c>
      <c r="I26" s="177">
        <f t="shared" si="4"/>
        <v>22</v>
      </c>
      <c r="J26" s="177">
        <f t="shared" si="4"/>
        <v>27</v>
      </c>
      <c r="K26" s="178">
        <f t="shared" si="4"/>
        <v>32</v>
      </c>
    </row>
    <row r="27" spans="2:11" ht="12.75" customHeight="1" x14ac:dyDescent="0.2">
      <c r="B27" s="496">
        <v>1250</v>
      </c>
      <c r="C27" s="496"/>
      <c r="D27" s="190">
        <f>ROUND('BASE-C90'!B7*(VLOOKUP(ROUND(((($D$3+$D$4)/2)-$D$5),3),FAKT_C109,2,-1)),0)</f>
        <v>154</v>
      </c>
      <c r="E27" s="179">
        <f>ROUND('BASE-C90'!C7*(VLOOKUP(ROUND(((($D$3+$D$4)/2)-$D$5),3),FAKT_C109,2,-1)),0)</f>
        <v>189</v>
      </c>
      <c r="F27" s="179">
        <f>ROUND('BASE-C90'!D7*(VLOOKUP(ROUND(((($D$3+$D$4)/2)-$D$5),3),FAKT_C109,2,-1)),0)</f>
        <v>246</v>
      </c>
      <c r="G27" s="179">
        <f>ROUND('BASE-C90'!E7*(VLOOKUP(ROUND(((($D$3+$D$4)/2)-$D$5),3),FAKT_C109,2,-1)),0)</f>
        <v>253</v>
      </c>
      <c r="H27" s="179">
        <f>ROUND('BASE-C90'!F7*(VLOOKUP(ROUND(((($D$3+$D$4)/2)-$D$5),3),FAKT_C109,2,-1)),0)</f>
        <v>280</v>
      </c>
      <c r="I27" s="179">
        <f>ROUND('BASE-C90'!G7*(VLOOKUP(ROUND(((($D$3+$D$4)/2)-$D$5),3),FAKT_C109,2,-1)),0)</f>
        <v>298</v>
      </c>
      <c r="J27" s="179">
        <f>ROUND('BASE-C90'!H7*(VLOOKUP(ROUND(((($D$3+$D$4)/2)-$D$5),3),FAKT_C109,2,-1)),0)</f>
        <v>365</v>
      </c>
      <c r="K27" s="180">
        <f>ROUND('BASE-C90'!I7*(VLOOKUP(ROUND(((($D$3+$D$4)/2)-$D$5),3),FAKT_C109,2,-1)),0)</f>
        <v>420</v>
      </c>
    </row>
    <row r="28" spans="2:11" ht="12.75" customHeight="1" x14ac:dyDescent="0.2">
      <c r="B28" s="496"/>
      <c r="C28" s="496"/>
      <c r="D28" s="191">
        <f t="shared" ref="D28:K28" si="5">ROUNDDOWN(D27/(1.161*($D$3-$D$4)),0)</f>
        <v>13</v>
      </c>
      <c r="E28" s="181">
        <f t="shared" si="5"/>
        <v>16</v>
      </c>
      <c r="F28" s="181">
        <f t="shared" si="5"/>
        <v>21</v>
      </c>
      <c r="G28" s="181">
        <f t="shared" si="5"/>
        <v>21</v>
      </c>
      <c r="H28" s="181">
        <f t="shared" si="5"/>
        <v>24</v>
      </c>
      <c r="I28" s="181">
        <f t="shared" si="5"/>
        <v>25</v>
      </c>
      <c r="J28" s="181">
        <f t="shared" si="5"/>
        <v>31</v>
      </c>
      <c r="K28" s="182">
        <f t="shared" si="5"/>
        <v>36</v>
      </c>
    </row>
    <row r="29" spans="2:11" ht="12.75" customHeight="1" x14ac:dyDescent="0.2">
      <c r="B29" s="482">
        <v>1350</v>
      </c>
      <c r="C29" s="482"/>
      <c r="D29" s="188">
        <f>ROUND('BASE-C90'!B8*(VLOOKUP(ROUND(((($D$3+$D$4)/2)-$D$5),3),FAKT_C109,2,-1)),0)</f>
        <v>171</v>
      </c>
      <c r="E29" s="175">
        <f>ROUND('BASE-C90'!C8*(VLOOKUP(ROUND(((($D$3+$D$4)/2)-$D$5),3),FAKT_C109,2,-1)),0)</f>
        <v>209</v>
      </c>
      <c r="F29" s="175">
        <f>ROUND('BASE-C90'!D8*(VLOOKUP(ROUND(((($D$3+$D$4)/2)-$D$5),3),FAKT_C109,2,-1)),0)</f>
        <v>273</v>
      </c>
      <c r="G29" s="175">
        <f>ROUND('BASE-C90'!E8*(VLOOKUP(ROUND(((($D$3+$D$4)/2)-$D$5),3),FAKT_C109,2,-1)),0)</f>
        <v>281</v>
      </c>
      <c r="H29" s="175">
        <f>ROUND('BASE-C90'!F8*(VLOOKUP(ROUND(((($D$3+$D$4)/2)-$D$5),3),FAKT_C109,2,-1)),0)</f>
        <v>312</v>
      </c>
      <c r="I29" s="175">
        <f>ROUND('BASE-C90'!G8*(VLOOKUP(ROUND(((($D$3+$D$4)/2)-$D$5),3),FAKT_C109,2,-1)),0)</f>
        <v>331</v>
      </c>
      <c r="J29" s="175">
        <f>ROUND('BASE-C90'!H8*(VLOOKUP(ROUND(((($D$3+$D$4)/2)-$D$5),3),FAKT_C109,2,-1)),0)</f>
        <v>405</v>
      </c>
      <c r="K29" s="176">
        <f>ROUND('BASE-C90'!I8*(VLOOKUP(ROUND(((($D$3+$D$4)/2)-$D$5),3),FAKT_C109,2,-1)),0)</f>
        <v>466</v>
      </c>
    </row>
    <row r="30" spans="2:11" ht="12.75" customHeight="1" x14ac:dyDescent="0.2">
      <c r="B30" s="482"/>
      <c r="C30" s="482"/>
      <c r="D30" s="189">
        <f t="shared" ref="D30:K30" si="6">ROUNDDOWN(D29/(1.161*($D$3-$D$4)),0)</f>
        <v>14</v>
      </c>
      <c r="E30" s="177">
        <f t="shared" si="6"/>
        <v>18</v>
      </c>
      <c r="F30" s="177">
        <f t="shared" si="6"/>
        <v>23</v>
      </c>
      <c r="G30" s="177">
        <f t="shared" si="6"/>
        <v>24</v>
      </c>
      <c r="H30" s="177">
        <f t="shared" si="6"/>
        <v>26</v>
      </c>
      <c r="I30" s="177">
        <f t="shared" si="6"/>
        <v>28</v>
      </c>
      <c r="J30" s="177">
        <f t="shared" si="6"/>
        <v>34</v>
      </c>
      <c r="K30" s="178">
        <f t="shared" si="6"/>
        <v>40</v>
      </c>
    </row>
    <row r="31" spans="2:11" ht="12.75" customHeight="1" x14ac:dyDescent="0.2">
      <c r="B31" s="496">
        <v>1550</v>
      </c>
      <c r="C31" s="496"/>
      <c r="D31" s="190">
        <f>ROUND('BASE-C90'!B9*(VLOOKUP(ROUND(((($D$3+$D$4)/2)-$D$5),3),FAKT_C109,2,-1)),0)</f>
        <v>206</v>
      </c>
      <c r="E31" s="179">
        <f>ROUND('BASE-C90'!C9*(VLOOKUP(ROUND(((($D$3+$D$4)/2)-$D$5),3),FAKT_C109,2,-1)),0)</f>
        <v>252</v>
      </c>
      <c r="F31" s="179">
        <f>ROUND('BASE-C90'!D9*(VLOOKUP(ROUND(((($D$3+$D$4)/2)-$D$5),3),FAKT_C109,2,-1)),0)</f>
        <v>328</v>
      </c>
      <c r="G31" s="179">
        <f>ROUND('BASE-C90'!E9*(VLOOKUP(ROUND(((($D$3+$D$4)/2)-$D$5),3),FAKT_C109,2,-1)),0)</f>
        <v>337</v>
      </c>
      <c r="H31" s="179">
        <f>ROUND('BASE-C90'!F9*(VLOOKUP(ROUND(((($D$3+$D$4)/2)-$D$5),3),FAKT_C109,2,-1)),0)</f>
        <v>374</v>
      </c>
      <c r="I31" s="179">
        <f>ROUND('BASE-C90'!G9*(VLOOKUP(ROUND(((($D$3+$D$4)/2)-$D$5),3),FAKT_C109,2,-1)),0)</f>
        <v>397</v>
      </c>
      <c r="J31" s="179">
        <f>ROUND('BASE-C90'!H9*(VLOOKUP(ROUND(((($D$3+$D$4)/2)-$D$5),3),FAKT_C109,2,-1)),0)</f>
        <v>486</v>
      </c>
      <c r="K31" s="180">
        <f>ROUND('BASE-C90'!I9*(VLOOKUP(ROUND(((($D$3+$D$4)/2)-$D$5),3),FAKT_C109,2,-1)),0)</f>
        <v>559</v>
      </c>
    </row>
    <row r="32" spans="2:11" ht="12.75" customHeight="1" x14ac:dyDescent="0.2">
      <c r="B32" s="496"/>
      <c r="C32" s="496"/>
      <c r="D32" s="191">
        <f t="shared" ref="D32:K32" si="7">ROUNDDOWN(D31/(1.161*($D$3-$D$4)),0)</f>
        <v>17</v>
      </c>
      <c r="E32" s="181">
        <f t="shared" si="7"/>
        <v>21</v>
      </c>
      <c r="F32" s="181">
        <f t="shared" si="7"/>
        <v>28</v>
      </c>
      <c r="G32" s="181">
        <f t="shared" si="7"/>
        <v>29</v>
      </c>
      <c r="H32" s="181">
        <f t="shared" si="7"/>
        <v>32</v>
      </c>
      <c r="I32" s="181">
        <f t="shared" si="7"/>
        <v>34</v>
      </c>
      <c r="J32" s="181">
        <f t="shared" si="7"/>
        <v>41</v>
      </c>
      <c r="K32" s="182">
        <f t="shared" si="7"/>
        <v>48</v>
      </c>
    </row>
    <row r="33" spans="2:11" ht="12.75" customHeight="1" x14ac:dyDescent="0.2">
      <c r="B33" s="482">
        <v>1750</v>
      </c>
      <c r="C33" s="482"/>
      <c r="D33" s="188">
        <f>ROUND('BASE-C90'!B10*(VLOOKUP(ROUND(((($D$3+$D$4)/2)-$D$5),3),FAKT_C109,2,-1)),0)</f>
        <v>240</v>
      </c>
      <c r="E33" s="175">
        <f>ROUND('BASE-C90'!C10*(VLOOKUP(ROUND(((($D$3+$D$4)/2)-$D$5),3),FAKT_C109,2,-1)),0)</f>
        <v>294</v>
      </c>
      <c r="F33" s="175">
        <f>ROUND('BASE-C90'!D10*(VLOOKUP(ROUND(((($D$3+$D$4)/2)-$D$5),3),FAKT_C109,2,-1)),0)</f>
        <v>382</v>
      </c>
      <c r="G33" s="175">
        <f>ROUND('BASE-C90'!E10*(VLOOKUP(ROUND(((($D$3+$D$4)/2)-$D$5),3),FAKT_C109,2,-1)),0)</f>
        <v>393</v>
      </c>
      <c r="H33" s="175">
        <f>ROUND('BASE-C90'!F10*(VLOOKUP(ROUND(((($D$3+$D$4)/2)-$D$5),3),FAKT_C109,2,-1)),0)</f>
        <v>436</v>
      </c>
      <c r="I33" s="175">
        <f>ROUND('BASE-C90'!G10*(VLOOKUP(ROUND(((($D$3+$D$4)/2)-$D$5),3),FAKT_C109,2,-1)),0)</f>
        <v>463</v>
      </c>
      <c r="J33" s="175">
        <f>ROUND('BASE-C90'!H10*(VLOOKUP(ROUND(((($D$3+$D$4)/2)-$D$5),3),FAKT_C109,2,-1)),0)</f>
        <v>568</v>
      </c>
      <c r="K33" s="176">
        <f>ROUND('BASE-C90'!I10*(VLOOKUP(ROUND(((($D$3+$D$4)/2)-$D$5),3),FAKT_C109,2,-1)),0)</f>
        <v>654</v>
      </c>
    </row>
    <row r="34" spans="2:11" ht="12.75" customHeight="1" x14ac:dyDescent="0.2">
      <c r="B34" s="482"/>
      <c r="C34" s="482"/>
      <c r="D34" s="189">
        <f t="shared" ref="D34:K34" si="8">ROUNDDOWN(D33/(1.161*($D$3-$D$4)),0)</f>
        <v>20</v>
      </c>
      <c r="E34" s="177">
        <f t="shared" si="8"/>
        <v>25</v>
      </c>
      <c r="F34" s="177">
        <f t="shared" si="8"/>
        <v>32</v>
      </c>
      <c r="G34" s="177">
        <f t="shared" si="8"/>
        <v>33</v>
      </c>
      <c r="H34" s="177">
        <f t="shared" si="8"/>
        <v>37</v>
      </c>
      <c r="I34" s="177">
        <f t="shared" si="8"/>
        <v>39</v>
      </c>
      <c r="J34" s="177">
        <f t="shared" si="8"/>
        <v>48</v>
      </c>
      <c r="K34" s="178">
        <f t="shared" si="8"/>
        <v>56</v>
      </c>
    </row>
    <row r="35" spans="2:11" ht="12.75" customHeight="1" x14ac:dyDescent="0.2">
      <c r="B35" s="496">
        <v>1950</v>
      </c>
      <c r="C35" s="496"/>
      <c r="D35" s="190">
        <f>ROUND('BASE-C90'!B11*(VLOOKUP(ROUND(((($D$3+$D$4)/2)-$D$5),3),FAKT_C109,2,-1)),0)</f>
        <v>274</v>
      </c>
      <c r="E35" s="179">
        <f>ROUND('BASE-C90'!C11*(VLOOKUP(ROUND(((($D$3+$D$4)/2)-$D$5),3),FAKT_C109,2,-1)),0)</f>
        <v>335</v>
      </c>
      <c r="F35" s="179">
        <f>ROUND('BASE-C90'!D11*(VLOOKUP(ROUND(((($D$3+$D$4)/2)-$D$5),3),FAKT_C109,2,-1)),0)</f>
        <v>437</v>
      </c>
      <c r="G35" s="179">
        <f>ROUND('BASE-C90'!E11*(VLOOKUP(ROUND(((($D$3+$D$4)/2)-$D$5),3),FAKT_C109,2,-1)),0)</f>
        <v>449</v>
      </c>
      <c r="H35" s="179">
        <f>ROUND('BASE-C90'!F11*(VLOOKUP(ROUND(((($D$3+$D$4)/2)-$D$5),3),FAKT_C109,2,-1)),0)</f>
        <v>498</v>
      </c>
      <c r="I35" s="179">
        <f>ROUND('BASE-C90'!G11*(VLOOKUP(ROUND(((($D$3+$D$4)/2)-$D$5),3),FAKT_C109,2,-1)),0)</f>
        <v>529</v>
      </c>
      <c r="J35" s="179">
        <f>ROUND('BASE-C90'!H11*(VLOOKUP(ROUND(((($D$3+$D$4)/2)-$D$5),3),FAKT_C109,2,-1)),0)</f>
        <v>648</v>
      </c>
      <c r="K35" s="180">
        <f>ROUND('BASE-C90'!I11*(VLOOKUP(ROUND(((($D$3+$D$4)/2)-$D$5),3),FAKT_C109,2,-1)),0)</f>
        <v>746</v>
      </c>
    </row>
    <row r="36" spans="2:11" ht="12.75" customHeight="1" x14ac:dyDescent="0.2">
      <c r="B36" s="496"/>
      <c r="C36" s="496"/>
      <c r="D36" s="191">
        <f t="shared" ref="D36:K36" si="9">ROUNDDOWN(D35/(1.161*($D$3-$D$4)),0)</f>
        <v>23</v>
      </c>
      <c r="E36" s="181">
        <f t="shared" si="9"/>
        <v>28</v>
      </c>
      <c r="F36" s="181">
        <f t="shared" si="9"/>
        <v>37</v>
      </c>
      <c r="G36" s="181">
        <f t="shared" si="9"/>
        <v>38</v>
      </c>
      <c r="H36" s="181">
        <f t="shared" si="9"/>
        <v>42</v>
      </c>
      <c r="I36" s="181">
        <f t="shared" si="9"/>
        <v>45</v>
      </c>
      <c r="J36" s="181">
        <f t="shared" si="9"/>
        <v>55</v>
      </c>
      <c r="K36" s="182">
        <f t="shared" si="9"/>
        <v>64</v>
      </c>
    </row>
    <row r="37" spans="2:11" ht="12.75" customHeight="1" x14ac:dyDescent="0.2">
      <c r="B37" s="482">
        <v>2150</v>
      </c>
      <c r="C37" s="482"/>
      <c r="D37" s="188">
        <f>ROUND('BASE-C90'!B12*(VLOOKUP(ROUND(((($D$3+$D$4)/2)-$D$5),3),FAKT_C109,2,-1)),0)</f>
        <v>308</v>
      </c>
      <c r="E37" s="175">
        <f>ROUND('BASE-C90'!C12*(VLOOKUP(ROUND(((($D$3+$D$4)/2)-$D$5),3),FAKT_C109,2,-1)),0)</f>
        <v>378</v>
      </c>
      <c r="F37" s="175">
        <f>ROUND('BASE-C90'!D12*(VLOOKUP(ROUND(((($D$3+$D$4)/2)-$D$5),3),FAKT_C109,2,-1)),0)</f>
        <v>491</v>
      </c>
      <c r="G37" s="175">
        <f>ROUND('BASE-C90'!E12*(VLOOKUP(ROUND(((($D$3+$D$4)/2)-$D$5),3),FAKT_C109,2,-1)),0)</f>
        <v>505</v>
      </c>
      <c r="H37" s="175">
        <f>ROUND('BASE-C90'!F12*(VLOOKUP(ROUND(((($D$3+$D$4)/2)-$D$5),3),FAKT_C109,2,-1)),0)</f>
        <v>561</v>
      </c>
      <c r="I37" s="175">
        <f>ROUND('BASE-C90'!G12*(VLOOKUP(ROUND(((($D$3+$D$4)/2)-$D$5),3),FAKT_C109,2,-1)),0)</f>
        <v>595</v>
      </c>
      <c r="J37" s="175">
        <f>ROUND('BASE-C90'!H12*(VLOOKUP(ROUND(((($D$3+$D$4)/2)-$D$5),3),FAKT_C109,2,-1)),0)</f>
        <v>730</v>
      </c>
      <c r="K37" s="176">
        <f>ROUND('BASE-C90'!I12*(VLOOKUP(ROUND(((($D$3+$D$4)/2)-$D$5),3),FAKT_C109,2,-1)),0)</f>
        <v>840</v>
      </c>
    </row>
    <row r="38" spans="2:11" ht="12.75" customHeight="1" x14ac:dyDescent="0.2">
      <c r="B38" s="482"/>
      <c r="C38" s="482"/>
      <c r="D38" s="189">
        <f t="shared" ref="D38:K38" si="10">ROUNDDOWN(D37/(1.161*($D$3-$D$4)),0)</f>
        <v>26</v>
      </c>
      <c r="E38" s="177">
        <f t="shared" si="10"/>
        <v>32</v>
      </c>
      <c r="F38" s="177">
        <f t="shared" si="10"/>
        <v>42</v>
      </c>
      <c r="G38" s="177">
        <f t="shared" si="10"/>
        <v>43</v>
      </c>
      <c r="H38" s="177">
        <f t="shared" si="10"/>
        <v>48</v>
      </c>
      <c r="I38" s="177">
        <f t="shared" si="10"/>
        <v>51</v>
      </c>
      <c r="J38" s="177">
        <f t="shared" si="10"/>
        <v>62</v>
      </c>
      <c r="K38" s="178">
        <f t="shared" si="10"/>
        <v>72</v>
      </c>
    </row>
    <row r="39" spans="2:11" ht="12.75" customHeight="1" x14ac:dyDescent="0.2">
      <c r="B39" s="496">
        <v>2350</v>
      </c>
      <c r="C39" s="496"/>
      <c r="D39" s="190">
        <f>ROUND('BASE-C90'!B13*(VLOOKUP(ROUND(((($D$3+$D$4)/2)-$D$5),3),FAKT_C109,2,-1)),0)</f>
        <v>343</v>
      </c>
      <c r="E39" s="179">
        <f>ROUND('BASE-C90'!C13*(VLOOKUP(ROUND(((($D$3+$D$4)/2)-$D$5),3),FAKT_C109,2,-1)),0)</f>
        <v>419</v>
      </c>
      <c r="F39" s="179">
        <f>ROUND('BASE-C90'!D13*(VLOOKUP(ROUND(((($D$3+$D$4)/2)-$D$5),3),FAKT_C109,2,-1)),0)</f>
        <v>546</v>
      </c>
      <c r="G39" s="179">
        <f>ROUND('BASE-C90'!E13*(VLOOKUP(ROUND(((($D$3+$D$4)/2)-$D$5),3),FAKT_C109,2,-1)),0)</f>
        <v>561</v>
      </c>
      <c r="H39" s="179">
        <f>ROUND('BASE-C90'!F13*(VLOOKUP(ROUND(((($D$3+$D$4)/2)-$D$5),3),FAKT_C109,2,-1)),0)</f>
        <v>623</v>
      </c>
      <c r="I39" s="179">
        <f>ROUND('BASE-C90'!G13*(VLOOKUP(ROUND(((($D$3+$D$4)/2)-$D$5),3),FAKT_C109,2,-1)),0)</f>
        <v>661</v>
      </c>
      <c r="J39" s="179">
        <f>ROUND('BASE-C90'!H13*(VLOOKUP(ROUND(((($D$3+$D$4)/2)-$D$5),3),FAKT_C109,2,-1)),0)</f>
        <v>811</v>
      </c>
      <c r="K39" s="180">
        <f>ROUND('BASE-C90'!I13*(VLOOKUP(ROUND(((($D$3+$D$4)/2)-$D$5),3),FAKT_C109,2,-1)),0)</f>
        <v>933</v>
      </c>
    </row>
    <row r="40" spans="2:11" ht="12.75" customHeight="1" x14ac:dyDescent="0.2">
      <c r="B40" s="496"/>
      <c r="C40" s="496"/>
      <c r="D40" s="191">
        <f t="shared" ref="D40:K40" si="11">ROUNDDOWN(D39/(1.161*($D$3-$D$4)),0)</f>
        <v>29</v>
      </c>
      <c r="E40" s="181">
        <f t="shared" si="11"/>
        <v>36</v>
      </c>
      <c r="F40" s="181">
        <f t="shared" si="11"/>
        <v>47</v>
      </c>
      <c r="G40" s="181">
        <f t="shared" si="11"/>
        <v>48</v>
      </c>
      <c r="H40" s="181">
        <f t="shared" si="11"/>
        <v>53</v>
      </c>
      <c r="I40" s="181">
        <f t="shared" si="11"/>
        <v>56</v>
      </c>
      <c r="J40" s="181">
        <f t="shared" si="11"/>
        <v>69</v>
      </c>
      <c r="K40" s="182">
        <f t="shared" si="11"/>
        <v>80</v>
      </c>
    </row>
    <row r="41" spans="2:11" ht="12.75" customHeight="1" x14ac:dyDescent="0.2">
      <c r="B41" s="482">
        <v>2550</v>
      </c>
      <c r="C41" s="482"/>
      <c r="D41" s="188">
        <f>ROUND('BASE-C90'!B14*(VLOOKUP(ROUND(((($D$3+$D$4)/2)-$D$5),3),FAKT_C109,2,-1)),0)</f>
        <v>377</v>
      </c>
      <c r="E41" s="175">
        <f>ROUND('BASE-C90'!C14*(VLOOKUP(ROUND(((($D$3+$D$4)/2)-$D$5),3),FAKT_C109,2,-1)),0)</f>
        <v>461</v>
      </c>
      <c r="F41" s="175">
        <f>ROUND('BASE-C90'!D14*(VLOOKUP(ROUND(((($D$3+$D$4)/2)-$D$5),3),FAKT_C109,2,-1)),0)</f>
        <v>601</v>
      </c>
      <c r="G41" s="175">
        <f>ROUND('BASE-C90'!E14*(VLOOKUP(ROUND(((($D$3+$D$4)/2)-$D$5),3),FAKT_C109,2,-1)),0)</f>
        <v>618</v>
      </c>
      <c r="H41" s="175">
        <f>ROUND('BASE-C90'!F14*(VLOOKUP(ROUND(((($D$3+$D$4)/2)-$D$5),3),FAKT_C109,2,-1)),0)</f>
        <v>685</v>
      </c>
      <c r="I41" s="175">
        <f>ROUND('BASE-C90'!G14*(VLOOKUP(ROUND(((($D$3+$D$4)/2)-$D$5),3),FAKT_C109,2,-1)),0)</f>
        <v>728</v>
      </c>
      <c r="J41" s="175">
        <f>ROUND('BASE-C90'!H14*(VLOOKUP(ROUND(((($D$3+$D$4)/2)-$D$5),3),FAKT_C109,2,-1)),0)</f>
        <v>891</v>
      </c>
      <c r="K41" s="176">
        <f>ROUND('BASE-C90'!I14*(VLOOKUP(ROUND(((($D$3+$D$4)/2)-$D$5),3),FAKT_C109,2,-1)),0)</f>
        <v>1026</v>
      </c>
    </row>
    <row r="42" spans="2:11" ht="12.75" customHeight="1" x14ac:dyDescent="0.2">
      <c r="B42" s="482"/>
      <c r="C42" s="482"/>
      <c r="D42" s="189">
        <f t="shared" ref="D42:K42" si="12">ROUNDDOWN(D41/(1.161*($D$3-$D$4)),0)</f>
        <v>32</v>
      </c>
      <c r="E42" s="177">
        <f t="shared" si="12"/>
        <v>39</v>
      </c>
      <c r="F42" s="177">
        <f t="shared" si="12"/>
        <v>51</v>
      </c>
      <c r="G42" s="177">
        <f t="shared" si="12"/>
        <v>53</v>
      </c>
      <c r="H42" s="177">
        <f t="shared" si="12"/>
        <v>59</v>
      </c>
      <c r="I42" s="177">
        <f t="shared" si="12"/>
        <v>62</v>
      </c>
      <c r="J42" s="177">
        <f t="shared" si="12"/>
        <v>76</v>
      </c>
      <c r="K42" s="178">
        <f t="shared" si="12"/>
        <v>88</v>
      </c>
    </row>
    <row r="43" spans="2:11" ht="12.75" customHeight="1" x14ac:dyDescent="0.2">
      <c r="B43" s="496">
        <v>2750</v>
      </c>
      <c r="C43" s="496"/>
      <c r="D43" s="190">
        <f>ROUND('BASE-C90'!B15*(VLOOKUP(ROUND(((($D$3+$D$4)/2)-$D$5),3),FAKT_C109,2,-1)),0)</f>
        <v>411</v>
      </c>
      <c r="E43" s="179">
        <f>ROUND('BASE-C90'!C15*(VLOOKUP(ROUND(((($D$3+$D$4)/2)-$D$5),3),FAKT_C109,2,-1)),0)</f>
        <v>503</v>
      </c>
      <c r="F43" s="179">
        <f>ROUND('BASE-C90'!D15*(VLOOKUP(ROUND(((($D$3+$D$4)/2)-$D$5),3),FAKT_C109,2,-1)),0)</f>
        <v>655</v>
      </c>
      <c r="G43" s="179">
        <f>ROUND('BASE-C90'!E15*(VLOOKUP(ROUND(((($D$3+$D$4)/2)-$D$5),3),FAKT_C109,2,-1)),0)</f>
        <v>674</v>
      </c>
      <c r="H43" s="179">
        <f>ROUND('BASE-C90'!F15*(VLOOKUP(ROUND(((($D$3+$D$4)/2)-$D$5),3),FAKT_C109,2,-1)),0)</f>
        <v>748</v>
      </c>
      <c r="I43" s="179">
        <f>ROUND('BASE-C90'!G15*(VLOOKUP(ROUND(((($D$3+$D$4)/2)-$D$5),3),FAKT_C109,2,-1)),0)</f>
        <v>794</v>
      </c>
      <c r="J43" s="179">
        <f>ROUND('BASE-C90'!H15*(VLOOKUP(ROUND(((($D$3+$D$4)/2)-$D$5),3),FAKT_C109,2,-1)),0)</f>
        <v>973</v>
      </c>
      <c r="K43" s="180">
        <f>ROUND('BASE-C90'!I15*(VLOOKUP(ROUND(((($D$3+$D$4)/2)-$D$5),3),FAKT_C109,2,-1)),0)</f>
        <v>1120</v>
      </c>
    </row>
    <row r="44" spans="2:11" ht="12.75" customHeight="1" x14ac:dyDescent="0.2">
      <c r="B44" s="496"/>
      <c r="C44" s="496"/>
      <c r="D44" s="191">
        <f t="shared" ref="D44:K44" si="13">ROUNDDOWN(D43/(1.161*($D$3-$D$4)),0)</f>
        <v>35</v>
      </c>
      <c r="E44" s="181">
        <f t="shared" si="13"/>
        <v>43</v>
      </c>
      <c r="F44" s="181">
        <f t="shared" si="13"/>
        <v>56</v>
      </c>
      <c r="G44" s="181">
        <f t="shared" si="13"/>
        <v>58</v>
      </c>
      <c r="H44" s="181">
        <f t="shared" si="13"/>
        <v>64</v>
      </c>
      <c r="I44" s="181">
        <f t="shared" si="13"/>
        <v>68</v>
      </c>
      <c r="J44" s="181">
        <f t="shared" si="13"/>
        <v>83</v>
      </c>
      <c r="K44" s="182">
        <f t="shared" si="13"/>
        <v>96</v>
      </c>
    </row>
    <row r="45" spans="2:11" ht="12.75" customHeight="1" x14ac:dyDescent="0.2">
      <c r="B45" s="482">
        <v>2950</v>
      </c>
      <c r="C45" s="482"/>
      <c r="D45" s="188">
        <f>ROUND('BASE-C90'!B16*(VLOOKUP(ROUND(((($D$3+$D$4)/2)-$D$5),3),FAKT_C109,2,-1)),0)</f>
        <v>446</v>
      </c>
      <c r="E45" s="175">
        <f>ROUND('BASE-C90'!C16*(VLOOKUP(ROUND(((($D$3+$D$4)/2)-$D$5),3),FAKT_C109,2,-1)),0)</f>
        <v>545</v>
      </c>
      <c r="F45" s="175">
        <f>ROUND('BASE-C90'!D16*(VLOOKUP(ROUND(((($D$3+$D$4)/2)-$D$5),3),FAKT_C109,2,-1)),0)</f>
        <v>710</v>
      </c>
      <c r="G45" s="175">
        <f>ROUND('BASE-C90'!E16*(VLOOKUP(ROUND(((($D$3+$D$4)/2)-$D$5),3),FAKT_C109,2,-1)),0)</f>
        <v>730</v>
      </c>
      <c r="H45" s="175">
        <f>ROUND('BASE-C90'!F16*(VLOOKUP(ROUND(((($D$3+$D$4)/2)-$D$5),3),FAKT_C109,2,-1)),0)</f>
        <v>810</v>
      </c>
      <c r="I45" s="175">
        <f>ROUND('BASE-C90'!G16*(VLOOKUP(ROUND(((($D$3+$D$4)/2)-$D$5),3),FAKT_C109,2,-1)),0)</f>
        <v>860</v>
      </c>
      <c r="J45" s="175">
        <f>ROUND('BASE-C90'!H16*(VLOOKUP(ROUND(((($D$3+$D$4)/2)-$D$5),3),FAKT_C109,2,-1)),0)</f>
        <v>1054</v>
      </c>
      <c r="K45" s="176">
        <f>ROUND('BASE-C90'!I16*(VLOOKUP(ROUND(((($D$3+$D$4)/2)-$D$5),3),FAKT_C109,2,-1)),0)</f>
        <v>1213</v>
      </c>
    </row>
    <row r="46" spans="2:11" ht="12.75" customHeight="1" x14ac:dyDescent="0.2">
      <c r="B46" s="482"/>
      <c r="C46" s="482"/>
      <c r="D46" s="189">
        <f t="shared" ref="D46:K46" si="14">ROUNDDOWN(D45/(1.161*($D$3-$D$4)),0)</f>
        <v>38</v>
      </c>
      <c r="E46" s="177">
        <f t="shared" si="14"/>
        <v>46</v>
      </c>
      <c r="F46" s="177">
        <f t="shared" si="14"/>
        <v>61</v>
      </c>
      <c r="G46" s="177">
        <f t="shared" si="14"/>
        <v>62</v>
      </c>
      <c r="H46" s="177">
        <f t="shared" si="14"/>
        <v>69</v>
      </c>
      <c r="I46" s="177">
        <f t="shared" si="14"/>
        <v>74</v>
      </c>
      <c r="J46" s="177">
        <f t="shared" si="14"/>
        <v>90</v>
      </c>
      <c r="K46" s="178">
        <f t="shared" si="14"/>
        <v>104</v>
      </c>
    </row>
    <row r="47" spans="2:11" ht="12.75" customHeight="1" x14ac:dyDescent="0.2">
      <c r="B47" s="496">
        <v>3150</v>
      </c>
      <c r="C47" s="496"/>
      <c r="D47" s="190">
        <f>ROUND('BASE-C90'!B17*(VLOOKUP(ROUND(((($D$3+$D$4)/2)-$D$5),3),FAKT_C109,2,-1)),0)</f>
        <v>480</v>
      </c>
      <c r="E47" s="179">
        <f>ROUND('BASE-C90'!C17*(VLOOKUP(ROUND(((($D$3+$D$4)/2)-$D$5),3),FAKT_C109,2,-1)),0)</f>
        <v>587</v>
      </c>
      <c r="F47" s="179">
        <f>ROUND('BASE-C90'!D17*(VLOOKUP(ROUND(((($D$3+$D$4)/2)-$D$5),3),FAKT_C109,2,-1)),0)</f>
        <v>764</v>
      </c>
      <c r="G47" s="179">
        <f>ROUND('BASE-C90'!E17*(VLOOKUP(ROUND(((($D$3+$D$4)/2)-$D$5),3),FAKT_C109,2,-1)),0)</f>
        <v>785</v>
      </c>
      <c r="H47" s="179">
        <f>ROUND('BASE-C90'!F17*(VLOOKUP(ROUND(((($D$3+$D$4)/2)-$D$5),3),FAKT_C109,2,-1)),0)</f>
        <v>872</v>
      </c>
      <c r="I47" s="179">
        <f>ROUND('BASE-C90'!G17*(VLOOKUP(ROUND(((($D$3+$D$4)/2)-$D$5),3),FAKT_C109,2,-1)),0)</f>
        <v>925</v>
      </c>
      <c r="J47" s="179">
        <f>ROUND('BASE-C90'!H17*(VLOOKUP(ROUND(((($D$3+$D$4)/2)-$D$5),3),FAKT_C109,2,-1)),0)</f>
        <v>1135</v>
      </c>
      <c r="K47" s="180">
        <f>ROUND('BASE-C90'!I17*(VLOOKUP(ROUND(((($D$3+$D$4)/2)-$D$5),3),FAKT_C109,2,-1)),0)</f>
        <v>1306</v>
      </c>
    </row>
    <row r="48" spans="2:11" ht="12.75" customHeight="1" x14ac:dyDescent="0.2">
      <c r="B48" s="496"/>
      <c r="C48" s="496"/>
      <c r="D48" s="191">
        <f t="shared" ref="D48:K48" si="15">ROUNDDOWN(D47/(1.161*($D$3-$D$4)),0)</f>
        <v>41</v>
      </c>
      <c r="E48" s="181">
        <f t="shared" si="15"/>
        <v>50</v>
      </c>
      <c r="F48" s="181">
        <f t="shared" si="15"/>
        <v>65</v>
      </c>
      <c r="G48" s="181">
        <f t="shared" si="15"/>
        <v>67</v>
      </c>
      <c r="H48" s="181">
        <f t="shared" si="15"/>
        <v>75</v>
      </c>
      <c r="I48" s="181">
        <f t="shared" si="15"/>
        <v>79</v>
      </c>
      <c r="J48" s="181">
        <f t="shared" si="15"/>
        <v>97</v>
      </c>
      <c r="K48" s="182">
        <f t="shared" si="15"/>
        <v>112</v>
      </c>
    </row>
    <row r="49" spans="2:11" ht="12.75" customHeight="1" x14ac:dyDescent="0.2">
      <c r="B49" s="482">
        <v>3350</v>
      </c>
      <c r="C49" s="482"/>
      <c r="D49" s="188">
        <f>ROUND('BASE-C90'!B18*(VLOOKUP(ROUND(((($D$3+$D$4)/2)-$D$5),3),FAKT_C109,2,-1)),0)</f>
        <v>514</v>
      </c>
      <c r="E49" s="175">
        <f>ROUND('BASE-C90'!C18*(VLOOKUP(ROUND(((($D$3+$D$4)/2)-$D$5),3),FAKT_C109,2,-1)),0)</f>
        <v>629</v>
      </c>
      <c r="F49" s="175">
        <f>ROUND('BASE-C90'!D18*(VLOOKUP(ROUND(((($D$3+$D$4)/2)-$D$5),3),FAKT_C109,2,-1)),0)</f>
        <v>819</v>
      </c>
      <c r="G49" s="175">
        <f>ROUND('BASE-C90'!E18*(VLOOKUP(ROUND(((($D$3+$D$4)/2)-$D$5),3),FAKT_C109,2,-1)),0)</f>
        <v>842</v>
      </c>
      <c r="H49" s="175">
        <f>ROUND('BASE-C90'!F18*(VLOOKUP(ROUND(((($D$3+$D$4)/2)-$D$5),3),FAKT_C109,2,-1)),0)</f>
        <v>935</v>
      </c>
      <c r="I49" s="175">
        <f>ROUND('BASE-C90'!G18*(VLOOKUP(ROUND(((($D$3+$D$4)/2)-$D$5),3),FAKT_C109,2,-1)),0)</f>
        <v>992</v>
      </c>
      <c r="J49" s="175">
        <f>ROUND('BASE-C90'!H18*(VLOOKUP(ROUND(((($D$3+$D$4)/2)-$D$5),3),FAKT_C109,2,-1)),0)</f>
        <v>1216</v>
      </c>
      <c r="K49" s="176">
        <f>ROUND('BASE-C90'!I18*(VLOOKUP(ROUND(((($D$3+$D$4)/2)-$D$5),3),FAKT_C109,2,-1)),0)</f>
        <v>1399</v>
      </c>
    </row>
    <row r="50" spans="2:11" ht="12.75" customHeight="1" x14ac:dyDescent="0.2">
      <c r="B50" s="482"/>
      <c r="C50" s="482"/>
      <c r="D50" s="189">
        <f t="shared" ref="D50:K50" si="16">ROUNDDOWN(D49/(1.161*($D$3-$D$4)),0)</f>
        <v>44</v>
      </c>
      <c r="E50" s="177">
        <f t="shared" si="16"/>
        <v>54</v>
      </c>
      <c r="F50" s="177">
        <f t="shared" si="16"/>
        <v>70</v>
      </c>
      <c r="G50" s="177">
        <f t="shared" si="16"/>
        <v>72</v>
      </c>
      <c r="H50" s="177">
        <f t="shared" si="16"/>
        <v>80</v>
      </c>
      <c r="I50" s="177">
        <f t="shared" si="16"/>
        <v>85</v>
      </c>
      <c r="J50" s="177">
        <f t="shared" si="16"/>
        <v>104</v>
      </c>
      <c r="K50" s="178">
        <f t="shared" si="16"/>
        <v>120</v>
      </c>
    </row>
    <row r="51" spans="2:11" ht="12.75" customHeight="1" x14ac:dyDescent="0.2">
      <c r="B51" s="496">
        <v>3550</v>
      </c>
      <c r="C51" s="496"/>
      <c r="D51" s="190">
        <f>ROUND('BASE-C90'!B19*(VLOOKUP(ROUND(((($D$3+$D$4)/2)-$D$5),3),FAKT_C109,2,-1)),0)</f>
        <v>548</v>
      </c>
      <c r="E51" s="179">
        <f>ROUND('BASE-C90'!C19*(VLOOKUP(ROUND(((($D$3+$D$4)/2)-$D$5),3),FAKT_C109,2,-1)),0)</f>
        <v>671</v>
      </c>
      <c r="F51" s="179">
        <f>ROUND('BASE-C90'!D19*(VLOOKUP(ROUND(((($D$3+$D$4)/2)-$D$5),3),FAKT_C109,2,-1)),0)</f>
        <v>874</v>
      </c>
      <c r="G51" s="179">
        <f>ROUND('BASE-C90'!E19*(VLOOKUP(ROUND(((($D$3+$D$4)/2)-$D$5),3),FAKT_C109,2,-1)),0)</f>
        <v>899</v>
      </c>
      <c r="H51" s="179">
        <f>ROUND('BASE-C90'!F19*(VLOOKUP(ROUND(((($D$3+$D$4)/2)-$D$5),3),FAKT_C109,2,-1)),0)</f>
        <v>997</v>
      </c>
      <c r="I51" s="179">
        <f>ROUND('BASE-C90'!G19*(VLOOKUP(ROUND(((($D$3+$D$4)/2)-$D$5),3),FAKT_C109,2,-1)),0)</f>
        <v>1059</v>
      </c>
      <c r="J51" s="179">
        <f>ROUND('BASE-C90'!H19*(VLOOKUP(ROUND(((($D$3+$D$4)/2)-$D$5),3),FAKT_C109,2,-1)),0)</f>
        <v>1297</v>
      </c>
      <c r="K51" s="180">
        <f>ROUND('BASE-C90'!I19*(VLOOKUP(ROUND(((($D$3+$D$4)/2)-$D$5),3),FAKT_C109,2,-1)),0)</f>
        <v>1493</v>
      </c>
    </row>
    <row r="52" spans="2:11" ht="12.75" customHeight="1" x14ac:dyDescent="0.2">
      <c r="B52" s="496"/>
      <c r="C52" s="496"/>
      <c r="D52" s="191">
        <f t="shared" ref="D52:K52" si="17">ROUNDDOWN(D51/(1.161*($D$3-$D$4)),0)</f>
        <v>47</v>
      </c>
      <c r="E52" s="181">
        <f t="shared" si="17"/>
        <v>57</v>
      </c>
      <c r="F52" s="181">
        <f t="shared" si="17"/>
        <v>75</v>
      </c>
      <c r="G52" s="181">
        <f t="shared" si="17"/>
        <v>77</v>
      </c>
      <c r="H52" s="181">
        <f t="shared" si="17"/>
        <v>85</v>
      </c>
      <c r="I52" s="181">
        <f t="shared" si="17"/>
        <v>91</v>
      </c>
      <c r="J52" s="181">
        <f t="shared" si="17"/>
        <v>111</v>
      </c>
      <c r="K52" s="182">
        <f t="shared" si="17"/>
        <v>128</v>
      </c>
    </row>
    <row r="53" spans="2:11" ht="12.75" customHeight="1" x14ac:dyDescent="0.2">
      <c r="B53" s="482">
        <v>3750</v>
      </c>
      <c r="C53" s="482"/>
      <c r="D53" s="188">
        <f>ROUND('BASE-C90'!B20*(VLOOKUP(ROUND(((($D$3+$D$4)/2)-$D$5),3),FAKT_C109,2,-1)),0)</f>
        <v>582</v>
      </c>
      <c r="E53" s="175">
        <f>ROUND('BASE-C90'!C20*(VLOOKUP(ROUND(((($D$3+$D$4)/2)-$D$5),3),FAKT_C109,2,-1)),0)</f>
        <v>713</v>
      </c>
      <c r="F53" s="175">
        <f>ROUND('BASE-C90'!D20*(VLOOKUP(ROUND(((($D$3+$D$4)/2)-$D$5),3),FAKT_C109,2,-1)),0)</f>
        <v>928</v>
      </c>
      <c r="G53" s="175">
        <f>ROUND('BASE-C90'!E20*(VLOOKUP(ROUND(((($D$3+$D$4)/2)-$D$5),3),FAKT_C109,2,-1)),0)</f>
        <v>954</v>
      </c>
      <c r="H53" s="175">
        <f>ROUND('BASE-C90'!F20*(VLOOKUP(ROUND(((($D$3+$D$4)/2)-$D$5),3),FAKT_C109,2,-1)),0)</f>
        <v>1059</v>
      </c>
      <c r="I53" s="175">
        <f>ROUND('BASE-C90'!G20*(VLOOKUP(ROUND(((($D$3+$D$4)/2)-$D$5),3),FAKT_C109,2,-1)),0)</f>
        <v>1124</v>
      </c>
      <c r="J53" s="175">
        <f>ROUND('BASE-C90'!H20*(VLOOKUP(ROUND(((($D$3+$D$4)/2)-$D$5),3),FAKT_C109,2,-1)),0)</f>
        <v>1378</v>
      </c>
      <c r="K53" s="176">
        <f>ROUND('BASE-C90'!I20*(VLOOKUP(ROUND(((($D$3+$D$4)/2)-$D$5),3),FAKT_C109,2,-1)),0)</f>
        <v>1586</v>
      </c>
    </row>
    <row r="54" spans="2:11" ht="12.75" customHeight="1" x14ac:dyDescent="0.2">
      <c r="B54" s="482"/>
      <c r="C54" s="482"/>
      <c r="D54" s="189">
        <f t="shared" ref="D54:K54" si="18">ROUNDDOWN(D53/(1.161*($D$3-$D$4)),0)</f>
        <v>50</v>
      </c>
      <c r="E54" s="177">
        <f t="shared" si="18"/>
        <v>61</v>
      </c>
      <c r="F54" s="177">
        <f t="shared" si="18"/>
        <v>79</v>
      </c>
      <c r="G54" s="177">
        <f t="shared" si="18"/>
        <v>82</v>
      </c>
      <c r="H54" s="177">
        <f t="shared" si="18"/>
        <v>91</v>
      </c>
      <c r="I54" s="177">
        <f t="shared" si="18"/>
        <v>96</v>
      </c>
      <c r="J54" s="177">
        <f t="shared" si="18"/>
        <v>118</v>
      </c>
      <c r="K54" s="178">
        <f t="shared" si="18"/>
        <v>136</v>
      </c>
    </row>
    <row r="55" spans="2:11" ht="12.75" customHeight="1" x14ac:dyDescent="0.2">
      <c r="B55" s="496">
        <v>3950</v>
      </c>
      <c r="C55" s="496"/>
      <c r="D55" s="190">
        <f>ROUND('BASE-C90'!B21*(VLOOKUP(ROUND(((($D$3+$D$4)/2)-$D$5),3),FAKT_C109,2,-1)),0)</f>
        <v>617</v>
      </c>
      <c r="E55" s="179">
        <f>ROUND('BASE-C90'!C21*(VLOOKUP(ROUND(((($D$3+$D$4)/2)-$D$5),3),FAKT_C109,2,-1)),0)</f>
        <v>755</v>
      </c>
      <c r="F55" s="179">
        <f>ROUND('BASE-C90'!D21*(VLOOKUP(ROUND(((($D$3+$D$4)/2)-$D$5),3),FAKT_C109,2,-1)),0)</f>
        <v>982</v>
      </c>
      <c r="G55" s="179">
        <f>ROUND('BASE-C90'!E21*(VLOOKUP(ROUND(((($D$3+$D$4)/2)-$D$5),3),FAKT_C109,2,-1)),0)</f>
        <v>1010</v>
      </c>
      <c r="H55" s="179">
        <f>ROUND('BASE-C90'!F21*(VLOOKUP(ROUND(((($D$3+$D$4)/2)-$D$5),3),FAKT_C109,2,-1)),0)</f>
        <v>1120</v>
      </c>
      <c r="I55" s="179">
        <f>ROUND('BASE-C90'!G21*(VLOOKUP(ROUND(((($D$3+$D$4)/2)-$D$5),3),FAKT_C109,2,-1)),0)</f>
        <v>1189</v>
      </c>
      <c r="J55" s="179">
        <f>ROUND('BASE-C90'!H21*(VLOOKUP(ROUND(((($D$3+$D$4)/2)-$D$5),3),FAKT_C109,2,-1)),0)</f>
        <v>1459</v>
      </c>
      <c r="K55" s="180">
        <f>ROUND('BASE-C90'!I21*(VLOOKUP(ROUND(((($D$3+$D$4)/2)-$D$5),3),FAKT_C109,2,-1)),0)</f>
        <v>1679</v>
      </c>
    </row>
    <row r="56" spans="2:11" ht="12.75" customHeight="1" x14ac:dyDescent="0.2">
      <c r="B56" s="496"/>
      <c r="C56" s="496"/>
      <c r="D56" s="191">
        <f t="shared" ref="D56:K56" si="19">ROUNDDOWN(D55/(1.161*($D$3-$D$4)),0)</f>
        <v>53</v>
      </c>
      <c r="E56" s="181">
        <f t="shared" si="19"/>
        <v>65</v>
      </c>
      <c r="F56" s="181">
        <f t="shared" si="19"/>
        <v>84</v>
      </c>
      <c r="G56" s="181">
        <f t="shared" si="19"/>
        <v>86</v>
      </c>
      <c r="H56" s="181">
        <f t="shared" si="19"/>
        <v>96</v>
      </c>
      <c r="I56" s="181">
        <f t="shared" si="19"/>
        <v>102</v>
      </c>
      <c r="J56" s="181">
        <f t="shared" si="19"/>
        <v>125</v>
      </c>
      <c r="K56" s="182">
        <f t="shared" si="19"/>
        <v>144</v>
      </c>
    </row>
    <row r="57" spans="2:11" ht="10.15" customHeight="1" x14ac:dyDescent="0.2">
      <c r="B57" s="148"/>
      <c r="C57" s="148"/>
      <c r="K57" s="140"/>
    </row>
    <row r="58" spans="2:11" x14ac:dyDescent="0.2">
      <c r="B58" s="141" t="str">
        <f>VLOOKUP(36,TXT,$F$3,0)</f>
        <v>Angabe in Watt  pro Bodenkonvektor-Länge L [mm]</v>
      </c>
      <c r="K58" s="121" t="str">
        <f>VLOOKUP(16,TXT,$F$3,0)</f>
        <v>Wärmeleistungen in Anlehnung an EN 442-2</v>
      </c>
    </row>
    <row r="59" spans="2:11" x14ac:dyDescent="0.2">
      <c r="B59" s="141" t="str">
        <f>VLOOKUP(90,TXT,$F$3,0)</f>
        <v>Leistungsdaten mit Abdeckung, Rollrost Typ 941-17-B (f.Q. 70%)</v>
      </c>
      <c r="K59" s="121"/>
    </row>
    <row r="60" spans="2:11" x14ac:dyDescent="0.2">
      <c r="B60" s="141" t="str">
        <f>VLOOKUP(29,TXT,$F$3,0)</f>
        <v>Minimale Wassermassenströme von ca. 20 kg/h sollen eingehalten werden</v>
      </c>
      <c r="K60" s="122" t="s">
        <v>1050</v>
      </c>
    </row>
    <row r="61" spans="2:11" x14ac:dyDescent="0.2">
      <c r="B61" s="183"/>
      <c r="C61" s="120"/>
      <c r="F61" s="120"/>
    </row>
    <row r="62" spans="2:11" hidden="1" x14ac:dyDescent="0.2">
      <c r="B62" s="183"/>
      <c r="C62" s="120"/>
      <c r="F62" s="120"/>
    </row>
    <row r="63" spans="2:11" hidden="1" x14ac:dyDescent="0.2">
      <c r="B63" s="183"/>
      <c r="C63" s="120"/>
      <c r="F63" s="120"/>
    </row>
  </sheetData>
  <sheetProtection algorithmName="SHA-512" hashValue="jReMxjloSYpjcG4WKnoRyfetbhshokW5B5uZmlbc2QU2Dh0ocESCuiChkuh1S+rXjDuehBzTWpZuFkm90H9SaA==" saltValue="Ty9w08BGicl+7EmnBSMuOw==" spinCount="100000" sheet="1" objects="1" scenarios="1" selectLockedCells="1"/>
  <protectedRanges>
    <protectedRange sqref="F4:F5" name="Bereich1_1_1"/>
  </protectedRanges>
  <mergeCells count="38">
    <mergeCell ref="H16:K16"/>
    <mergeCell ref="B10:D10"/>
    <mergeCell ref="E10:G10"/>
    <mergeCell ref="H10:I10"/>
    <mergeCell ref="J10:K10"/>
    <mergeCell ref="B12:C12"/>
    <mergeCell ref="B13:C13"/>
    <mergeCell ref="B14:C14"/>
    <mergeCell ref="B16:C16"/>
    <mergeCell ref="D16:G16"/>
    <mergeCell ref="B39:C40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53:C54"/>
    <mergeCell ref="B55:C56"/>
    <mergeCell ref="B41:C42"/>
    <mergeCell ref="B43:C44"/>
    <mergeCell ref="B45:C46"/>
    <mergeCell ref="B47:C48"/>
    <mergeCell ref="B49:C50"/>
    <mergeCell ref="B51:C52"/>
    <mergeCell ref="F3:F5"/>
    <mergeCell ref="D2:E2"/>
    <mergeCell ref="B3:C3"/>
    <mergeCell ref="D3:E3"/>
    <mergeCell ref="B4:C4"/>
    <mergeCell ref="D4:E4"/>
    <mergeCell ref="B5:C5"/>
    <mergeCell ref="D5:E5"/>
  </mergeCells>
  <conditionalFormatting sqref="D3:D5">
    <cfRule type="expression" dxfId="101" priority="3">
      <formula>$I$4&lt;&gt;""</formula>
    </cfRule>
    <cfRule type="expression" dxfId="100" priority="4">
      <formula>$K$3&lt;&gt;""</formula>
    </cfRule>
  </conditionalFormatting>
  <conditionalFormatting sqref="D3:E5">
    <cfRule type="expression" dxfId="99" priority="1">
      <formula>$H$4&lt;&gt;""</formula>
    </cfRule>
  </conditionalFormatting>
  <conditionalFormatting sqref="D17:K17">
    <cfRule type="expression" dxfId="98" priority="82" stopIfTrue="1">
      <formula>D18&lt;20</formula>
    </cfRule>
  </conditionalFormatting>
  <conditionalFormatting sqref="D19:K19">
    <cfRule type="expression" dxfId="97" priority="81" stopIfTrue="1">
      <formula>D20&lt;20</formula>
    </cfRule>
  </conditionalFormatting>
  <conditionalFormatting sqref="D21:K21">
    <cfRule type="expression" dxfId="96" priority="61" stopIfTrue="1">
      <formula>D22&lt;20</formula>
    </cfRule>
  </conditionalFormatting>
  <conditionalFormatting sqref="D23:K23">
    <cfRule type="expression" dxfId="95" priority="79" stopIfTrue="1">
      <formula>D24&lt;20</formula>
    </cfRule>
  </conditionalFormatting>
  <conditionalFormatting sqref="D25:K25">
    <cfRule type="expression" dxfId="94" priority="59" stopIfTrue="1">
      <formula>D26&lt;20</formula>
    </cfRule>
  </conditionalFormatting>
  <conditionalFormatting sqref="D27:K27">
    <cfRule type="expression" dxfId="93" priority="77" stopIfTrue="1">
      <formula>D28&lt;20</formula>
    </cfRule>
  </conditionalFormatting>
  <conditionalFormatting sqref="D29:K29">
    <cfRule type="expression" dxfId="92" priority="57" stopIfTrue="1">
      <formula>D30&lt;20</formula>
    </cfRule>
  </conditionalFormatting>
  <conditionalFormatting sqref="D31:K31">
    <cfRule type="expression" dxfId="91" priority="75" stopIfTrue="1">
      <formula>D32&lt;20</formula>
    </cfRule>
  </conditionalFormatting>
  <conditionalFormatting sqref="D33:K33">
    <cfRule type="expression" dxfId="90" priority="55" stopIfTrue="1">
      <formula>D34&lt;20</formula>
    </cfRule>
  </conditionalFormatting>
  <conditionalFormatting sqref="D35:K35">
    <cfRule type="expression" dxfId="89" priority="73" stopIfTrue="1">
      <formula>D36&lt;20</formula>
    </cfRule>
  </conditionalFormatting>
  <conditionalFormatting sqref="D37:K37">
    <cfRule type="expression" dxfId="88" priority="53" stopIfTrue="1">
      <formula>D38&lt;20</formula>
    </cfRule>
  </conditionalFormatting>
  <conditionalFormatting sqref="D39:K39">
    <cfRule type="expression" dxfId="87" priority="71" stopIfTrue="1">
      <formula>D40&lt;20</formula>
    </cfRule>
  </conditionalFormatting>
  <conditionalFormatting sqref="D41:K41">
    <cfRule type="expression" dxfId="86" priority="51" stopIfTrue="1">
      <formula>D42&lt;20</formula>
    </cfRule>
  </conditionalFormatting>
  <conditionalFormatting sqref="D43:K43">
    <cfRule type="expression" dxfId="85" priority="69" stopIfTrue="1">
      <formula>D44&lt;20</formula>
    </cfRule>
  </conditionalFormatting>
  <conditionalFormatting sqref="D45:K45">
    <cfRule type="expression" dxfId="84" priority="49" stopIfTrue="1">
      <formula>D46&lt;20</formula>
    </cfRule>
  </conditionalFormatting>
  <conditionalFormatting sqref="D47:K47">
    <cfRule type="expression" dxfId="83" priority="67" stopIfTrue="1">
      <formula>D48&lt;20</formula>
    </cfRule>
  </conditionalFormatting>
  <conditionalFormatting sqref="D49:K49">
    <cfRule type="expression" dxfId="82" priority="47" stopIfTrue="1">
      <formula>D50&lt;20</formula>
    </cfRule>
  </conditionalFormatting>
  <conditionalFormatting sqref="D51:K51">
    <cfRule type="expression" dxfId="81" priority="65" stopIfTrue="1">
      <formula>D52&lt;20</formula>
    </cfRule>
  </conditionalFormatting>
  <conditionalFormatting sqref="D53:K53">
    <cfRule type="expression" dxfId="80" priority="45" stopIfTrue="1">
      <formula>D54&lt;20</formula>
    </cfRule>
  </conditionalFormatting>
  <conditionalFormatting sqref="D55:K55">
    <cfRule type="expression" dxfId="79" priority="63" stopIfTrue="1">
      <formula>D56&lt;20</formula>
    </cfRule>
  </conditionalFormatting>
  <dataValidations count="4">
    <dataValidation type="whole" allowBlank="1" showInputMessage="1" showErrorMessage="1" sqref="D3:E3" xr:uid="{0291D847-D6AB-4D0B-8FCC-8FB419AE787F}">
      <formula1>30</formula1>
      <formula2>90</formula2>
    </dataValidation>
    <dataValidation type="whole" allowBlank="1" showInputMessage="1" showErrorMessage="1" sqref="D4:E4" xr:uid="{D3E075EC-1022-4F42-BE89-A98B5CE44644}">
      <formula1>25</formula1>
      <formula2>85</formula2>
    </dataValidation>
    <dataValidation type="whole" allowBlank="1" showInputMessage="1" showErrorMessage="1" sqref="D5:E5" xr:uid="{359F9A76-9BD5-40CB-B4B5-41A79699F873}">
      <formula1>15</formula1>
      <formula2>29</formula2>
    </dataValidation>
    <dataValidation type="whole" allowBlank="1" showInputMessage="1" showErrorMessage="1" sqref="F3:F5" xr:uid="{66D76A30-9206-4C8E-8F1E-03ACF0AA53CF}">
      <formula1>2</formula1>
      <formula2>3</formula2>
    </dataValidation>
  </dataValidations>
  <pageMargins left="0.59055118110236227" right="0.39370078740157483" top="1.1811023622047245" bottom="0.78740157480314965" header="0.51181102362204722" footer="0.51181102362204722"/>
  <pageSetup paperSize="9" orientation="portrait" r:id="rId1"/>
  <headerFooter alignWithMargins="0">
    <oddHeader xml:space="preserve">&amp;C&amp;11&amp;G
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4" id="{687AB271-59EC-44CA-AE3C-68CAD75AC3E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D18</xm:sqref>
        </x14:conditionalFormatting>
        <x14:conditionalFormatting xmlns:xm="http://schemas.microsoft.com/office/excel/2006/main">
          <x14:cfRule type="iconSet" priority="42" id="{DCF530D8-C8B3-40EA-98DD-B1C8973B2CD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D20</xm:sqref>
        </x14:conditionalFormatting>
        <x14:conditionalFormatting xmlns:xm="http://schemas.microsoft.com/office/excel/2006/main">
          <x14:cfRule type="iconSet" priority="22" id="{51FFD6FD-5A48-4905-A6E5-DB69DAF89C6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D22</xm:sqref>
        </x14:conditionalFormatting>
        <x14:conditionalFormatting xmlns:xm="http://schemas.microsoft.com/office/excel/2006/main">
          <x14:cfRule type="iconSet" priority="40" id="{2BA44D22-D1E5-4EA4-87D2-64609B133B5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D24</xm:sqref>
        </x14:conditionalFormatting>
        <x14:conditionalFormatting xmlns:xm="http://schemas.microsoft.com/office/excel/2006/main">
          <x14:cfRule type="iconSet" priority="20" id="{F4231760-297D-4CE5-A822-874FD0D8292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D26</xm:sqref>
        </x14:conditionalFormatting>
        <x14:conditionalFormatting xmlns:xm="http://schemas.microsoft.com/office/excel/2006/main">
          <x14:cfRule type="iconSet" priority="38" id="{4E7EE876-9319-426B-B063-5234578549E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D28</xm:sqref>
        </x14:conditionalFormatting>
        <x14:conditionalFormatting xmlns:xm="http://schemas.microsoft.com/office/excel/2006/main">
          <x14:cfRule type="iconSet" priority="18" id="{CCB0615A-92B6-403D-98FE-6509AADC72C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D30</xm:sqref>
        </x14:conditionalFormatting>
        <x14:conditionalFormatting xmlns:xm="http://schemas.microsoft.com/office/excel/2006/main">
          <x14:cfRule type="iconSet" priority="36" id="{165A82B4-1443-4984-ADF6-297FE0EE57F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D32</xm:sqref>
        </x14:conditionalFormatting>
        <x14:conditionalFormatting xmlns:xm="http://schemas.microsoft.com/office/excel/2006/main">
          <x14:cfRule type="iconSet" priority="16" id="{246AAB6B-8387-4E51-8730-AF003FA2F68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D34</xm:sqref>
        </x14:conditionalFormatting>
        <x14:conditionalFormatting xmlns:xm="http://schemas.microsoft.com/office/excel/2006/main">
          <x14:cfRule type="iconSet" priority="34" id="{F0A3ADF8-DDD5-45D2-B387-CCC9FFB5D72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D36</xm:sqref>
        </x14:conditionalFormatting>
        <x14:conditionalFormatting xmlns:xm="http://schemas.microsoft.com/office/excel/2006/main">
          <x14:cfRule type="iconSet" priority="14" id="{71A50F25-3636-4842-B3C2-70FDF299EBB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D38</xm:sqref>
        </x14:conditionalFormatting>
        <x14:conditionalFormatting xmlns:xm="http://schemas.microsoft.com/office/excel/2006/main">
          <x14:cfRule type="iconSet" priority="32" id="{BDFB4B40-3B74-4B52-AFBE-A6AC48D1825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D40</xm:sqref>
        </x14:conditionalFormatting>
        <x14:conditionalFormatting xmlns:xm="http://schemas.microsoft.com/office/excel/2006/main">
          <x14:cfRule type="iconSet" priority="12" id="{0401B047-C484-4B17-895D-081F4A47BE5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D42</xm:sqref>
        </x14:conditionalFormatting>
        <x14:conditionalFormatting xmlns:xm="http://schemas.microsoft.com/office/excel/2006/main">
          <x14:cfRule type="iconSet" priority="30" id="{985EB57A-31B5-41CA-9AC3-14D1DB5F671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D44</xm:sqref>
        </x14:conditionalFormatting>
        <x14:conditionalFormatting xmlns:xm="http://schemas.microsoft.com/office/excel/2006/main">
          <x14:cfRule type="iconSet" priority="10" id="{B407B2AC-EF0D-4BDC-9AD8-F24C7E22621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D46</xm:sqref>
        </x14:conditionalFormatting>
        <x14:conditionalFormatting xmlns:xm="http://schemas.microsoft.com/office/excel/2006/main">
          <x14:cfRule type="iconSet" priority="28" id="{D24ACEE1-17F7-4CEE-B324-6C16534DC7D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D48</xm:sqref>
        </x14:conditionalFormatting>
        <x14:conditionalFormatting xmlns:xm="http://schemas.microsoft.com/office/excel/2006/main">
          <x14:cfRule type="iconSet" priority="8" id="{FCE67D84-1B5F-4E55-98B5-5EDF99C0048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D50</xm:sqref>
        </x14:conditionalFormatting>
        <x14:conditionalFormatting xmlns:xm="http://schemas.microsoft.com/office/excel/2006/main">
          <x14:cfRule type="iconSet" priority="26" id="{C90643F1-417D-4F95-B4C9-AE7A3C1884B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D52</xm:sqref>
        </x14:conditionalFormatting>
        <x14:conditionalFormatting xmlns:xm="http://schemas.microsoft.com/office/excel/2006/main">
          <x14:cfRule type="iconSet" priority="6" id="{ACDFB8CB-A6EA-4B99-8BC7-0C83C2520B6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D54</xm:sqref>
        </x14:conditionalFormatting>
        <x14:conditionalFormatting xmlns:xm="http://schemas.microsoft.com/office/excel/2006/main">
          <x14:cfRule type="iconSet" priority="24" id="{D66119A2-FD5D-48E5-8264-679177BCC57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D56</xm:sqref>
        </x14:conditionalFormatting>
        <x14:conditionalFormatting xmlns:xm="http://schemas.microsoft.com/office/excel/2006/main">
          <x14:cfRule type="iconSet" priority="43" id="{E91A2892-3E93-4A9A-84C1-477CC786CDC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E18:K18</xm:sqref>
        </x14:conditionalFormatting>
        <x14:conditionalFormatting xmlns:xm="http://schemas.microsoft.com/office/excel/2006/main">
          <x14:cfRule type="iconSet" priority="41" id="{AFDB2E7F-8273-4A5C-8CE5-209A68FAED4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E20:K20</xm:sqref>
        </x14:conditionalFormatting>
        <x14:conditionalFormatting xmlns:xm="http://schemas.microsoft.com/office/excel/2006/main">
          <x14:cfRule type="iconSet" priority="21" id="{10B0DCC3-6B4A-415A-8679-8718F2F07E2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E22:K22</xm:sqref>
        </x14:conditionalFormatting>
        <x14:conditionalFormatting xmlns:xm="http://schemas.microsoft.com/office/excel/2006/main">
          <x14:cfRule type="iconSet" priority="39" id="{37FA2FDA-6EF5-475F-97A3-57CEE6E61D4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E24:K24</xm:sqref>
        </x14:conditionalFormatting>
        <x14:conditionalFormatting xmlns:xm="http://schemas.microsoft.com/office/excel/2006/main">
          <x14:cfRule type="iconSet" priority="19" id="{CE777745-4D7C-4F3E-AC26-C37DB8DB99D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E26:K26</xm:sqref>
        </x14:conditionalFormatting>
        <x14:conditionalFormatting xmlns:xm="http://schemas.microsoft.com/office/excel/2006/main">
          <x14:cfRule type="iconSet" priority="37" id="{9EC92230-7913-4C0E-8733-DF048C48C76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E28:K28</xm:sqref>
        </x14:conditionalFormatting>
        <x14:conditionalFormatting xmlns:xm="http://schemas.microsoft.com/office/excel/2006/main">
          <x14:cfRule type="iconSet" priority="17" id="{F86EA297-9B93-49D9-94E7-6E7FCD94F9F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E30:K30</xm:sqref>
        </x14:conditionalFormatting>
        <x14:conditionalFormatting xmlns:xm="http://schemas.microsoft.com/office/excel/2006/main">
          <x14:cfRule type="iconSet" priority="35" id="{16BC83B0-DB96-45F7-8A1F-EFDA7135EBE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E32:K32</xm:sqref>
        </x14:conditionalFormatting>
        <x14:conditionalFormatting xmlns:xm="http://schemas.microsoft.com/office/excel/2006/main">
          <x14:cfRule type="iconSet" priority="15" id="{653C5B4A-6A91-42F4-B293-FE78D3C268C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E34:K34</xm:sqref>
        </x14:conditionalFormatting>
        <x14:conditionalFormatting xmlns:xm="http://schemas.microsoft.com/office/excel/2006/main">
          <x14:cfRule type="iconSet" priority="33" id="{23446A4C-F161-44D7-8AB6-42F45C7CE29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E36:K36</xm:sqref>
        </x14:conditionalFormatting>
        <x14:conditionalFormatting xmlns:xm="http://schemas.microsoft.com/office/excel/2006/main">
          <x14:cfRule type="iconSet" priority="13" id="{849C39BF-19BA-4458-B0EC-55710F2CFAC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E38:K38</xm:sqref>
        </x14:conditionalFormatting>
        <x14:conditionalFormatting xmlns:xm="http://schemas.microsoft.com/office/excel/2006/main">
          <x14:cfRule type="iconSet" priority="31" id="{100F9DC7-F0FA-450F-A6CA-B997979B196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E40:K40</xm:sqref>
        </x14:conditionalFormatting>
        <x14:conditionalFormatting xmlns:xm="http://schemas.microsoft.com/office/excel/2006/main">
          <x14:cfRule type="iconSet" priority="11" id="{EE504874-1BB1-419B-9315-3FCA9E10152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E42:K42</xm:sqref>
        </x14:conditionalFormatting>
        <x14:conditionalFormatting xmlns:xm="http://schemas.microsoft.com/office/excel/2006/main">
          <x14:cfRule type="iconSet" priority="29" id="{1BB7F82A-4EB8-47FE-84F6-6BF789243CF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E44:K44</xm:sqref>
        </x14:conditionalFormatting>
        <x14:conditionalFormatting xmlns:xm="http://schemas.microsoft.com/office/excel/2006/main">
          <x14:cfRule type="iconSet" priority="9" id="{BA85BE11-1B28-4B0A-A28E-7B0FBCFFEC0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E46:K46</xm:sqref>
        </x14:conditionalFormatting>
        <x14:conditionalFormatting xmlns:xm="http://schemas.microsoft.com/office/excel/2006/main">
          <x14:cfRule type="iconSet" priority="27" id="{33227BF7-A381-4ED9-9F91-091245C8B3B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E48:K48</xm:sqref>
        </x14:conditionalFormatting>
        <x14:conditionalFormatting xmlns:xm="http://schemas.microsoft.com/office/excel/2006/main">
          <x14:cfRule type="iconSet" priority="7" id="{AAFA148E-46C3-4368-BB48-E81853DA37E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E50:K50</xm:sqref>
        </x14:conditionalFormatting>
        <x14:conditionalFormatting xmlns:xm="http://schemas.microsoft.com/office/excel/2006/main">
          <x14:cfRule type="iconSet" priority="25" id="{7F00B5BB-5A30-45A1-8DEC-6CB0AA12049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E52:K52</xm:sqref>
        </x14:conditionalFormatting>
        <x14:conditionalFormatting xmlns:xm="http://schemas.microsoft.com/office/excel/2006/main">
          <x14:cfRule type="iconSet" priority="5" id="{6352A9C5-5962-409F-A31A-8E73324E524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E54:K54</xm:sqref>
        </x14:conditionalFormatting>
        <x14:conditionalFormatting xmlns:xm="http://schemas.microsoft.com/office/excel/2006/main">
          <x14:cfRule type="iconSet" priority="23" id="{366E3505-66B6-42F4-98AC-A49D1FD839F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E56:K56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E3CF9-8692-4631-A3A3-D7006A36107B}">
  <dimension ref="A1:L63"/>
  <sheetViews>
    <sheetView workbookViewId="0">
      <selection activeCell="G3" sqref="G3:H3"/>
    </sheetView>
  </sheetViews>
  <sheetFormatPr baseColWidth="10" defaultColWidth="0" defaultRowHeight="12.75" zeroHeight="1" x14ac:dyDescent="0.2"/>
  <cols>
    <col min="1" max="1" width="2.7109375" style="101" customWidth="1"/>
    <col min="2" max="2" width="3.5703125" style="101" customWidth="1"/>
    <col min="3" max="3" width="6.7109375" style="140" customWidth="1"/>
    <col min="4" max="10" width="10.28515625" style="140" customWidth="1"/>
    <col min="11" max="11" width="10.28515625" style="101" customWidth="1"/>
    <col min="12" max="12" width="2.7109375" style="101" customWidth="1"/>
    <col min="13" max="16384" width="11.42578125" style="101" hidden="1"/>
  </cols>
  <sheetData>
    <row r="1" spans="2:12" x14ac:dyDescent="0.2"/>
    <row r="2" spans="2:12" ht="15" x14ac:dyDescent="0.25">
      <c r="B2"/>
      <c r="C2" s="101"/>
      <c r="D2" s="494" t="s">
        <v>936</v>
      </c>
      <c r="E2" s="494"/>
      <c r="F2" s="283" t="s">
        <v>938</v>
      </c>
    </row>
    <row r="3" spans="2:12" ht="23.25" x14ac:dyDescent="0.35">
      <c r="B3" s="453" t="s">
        <v>933</v>
      </c>
      <c r="C3" s="453"/>
      <c r="D3" s="495">
        <v>75</v>
      </c>
      <c r="E3" s="495"/>
      <c r="F3" s="432">
        <v>2</v>
      </c>
    </row>
    <row r="4" spans="2:12" ht="23.25" x14ac:dyDescent="0.35">
      <c r="B4" s="453" t="s">
        <v>934</v>
      </c>
      <c r="C4" s="453"/>
      <c r="D4" s="495">
        <v>65</v>
      </c>
      <c r="E4" s="495"/>
      <c r="F4" s="432"/>
      <c r="H4" s="287" t="str">
        <f>IF(OR((D3-D4)&lt;3,(D4-D5)&lt;3,(D3-D4)&gt;25,D5&lt;15,ISERROR(D17)),"Bitte überprüfen Sie ihre Eingaben!","")</f>
        <v/>
      </c>
    </row>
    <row r="5" spans="2:12" ht="23.25" x14ac:dyDescent="0.35">
      <c r="B5" s="453" t="s">
        <v>935</v>
      </c>
      <c r="C5" s="453"/>
      <c r="D5" s="495">
        <v>20</v>
      </c>
      <c r="E5" s="495"/>
      <c r="F5" s="432"/>
    </row>
    <row r="6" spans="2:12" x14ac:dyDescent="0.2"/>
    <row r="7" spans="2:12" ht="25.5" customHeight="1" x14ac:dyDescent="0.4">
      <c r="B7" s="184" t="str">
        <f>VLOOKUP(61,TXT,$F$3,0)</f>
        <v>Bodenkonvektor Modell LIB-109</v>
      </c>
      <c r="C7" s="185"/>
      <c r="D7" s="185"/>
      <c r="E7" s="185"/>
      <c r="F7" s="185"/>
      <c r="G7" s="185"/>
      <c r="H7" s="185"/>
      <c r="I7" s="185"/>
      <c r="J7" s="185"/>
      <c r="K7" s="185"/>
      <c r="L7" s="170"/>
    </row>
    <row r="8" spans="2:12" ht="17.25" customHeight="1" x14ac:dyDescent="0.4">
      <c r="B8" s="186" t="str">
        <f>VLOOKUP(47,TXT,$F$3,0)</f>
        <v>für freie Konvektion</v>
      </c>
      <c r="C8" s="186"/>
      <c r="D8" s="186"/>
      <c r="E8" s="186"/>
      <c r="F8" s="186"/>
      <c r="G8" s="186"/>
      <c r="H8" s="186"/>
      <c r="I8" s="186"/>
      <c r="J8" s="186"/>
      <c r="K8" s="186"/>
      <c r="L8" s="170"/>
    </row>
    <row r="9" spans="2:12" x14ac:dyDescent="0.2"/>
    <row r="10" spans="2:12" ht="23.25" x14ac:dyDescent="0.2">
      <c r="B10" s="499" t="str">
        <f>VLOOKUP(10,TXT,$F$3,0)</f>
        <v>Heizmedium</v>
      </c>
      <c r="C10" s="499"/>
      <c r="D10" s="499"/>
      <c r="E10" s="500" t="str">
        <f>CONCATENATE(D3,"° / ",D4," °C")</f>
        <v>75° / 65 °C</v>
      </c>
      <c r="F10" s="500"/>
      <c r="G10" s="500"/>
      <c r="H10" s="501">
        <f>SUM(D5)</f>
        <v>20</v>
      </c>
      <c r="I10" s="501"/>
      <c r="J10" s="502"/>
      <c r="K10" s="502"/>
    </row>
    <row r="11" spans="2:12" x14ac:dyDescent="0.2"/>
    <row r="12" spans="2:12" ht="17.25" customHeight="1" x14ac:dyDescent="0.25">
      <c r="B12" s="503" t="str">
        <f>VLOOKUP(9,TXT,$F$3,0)</f>
        <v>Modell</v>
      </c>
      <c r="C12" s="503"/>
      <c r="D12" s="173" t="s">
        <v>1397</v>
      </c>
      <c r="E12" s="173" t="s">
        <v>1387</v>
      </c>
      <c r="F12" s="173" t="s">
        <v>1388</v>
      </c>
      <c r="G12" s="173" t="s">
        <v>1389</v>
      </c>
      <c r="H12" s="173" t="s">
        <v>1390</v>
      </c>
      <c r="I12" s="173" t="s">
        <v>1391</v>
      </c>
      <c r="J12" s="173" t="s">
        <v>1392</v>
      </c>
      <c r="K12" s="173" t="s">
        <v>1393</v>
      </c>
    </row>
    <row r="13" spans="2:12" x14ac:dyDescent="0.2">
      <c r="B13" s="504" t="s">
        <v>1351</v>
      </c>
      <c r="C13" s="504"/>
      <c r="D13" s="187">
        <v>144</v>
      </c>
      <c r="E13" s="187">
        <v>176</v>
      </c>
      <c r="F13" s="187">
        <v>224</v>
      </c>
      <c r="G13" s="187">
        <v>240</v>
      </c>
      <c r="H13" s="187">
        <v>272</v>
      </c>
      <c r="I13" s="187">
        <v>304</v>
      </c>
      <c r="J13" s="187">
        <v>336</v>
      </c>
      <c r="K13" s="187">
        <v>368</v>
      </c>
    </row>
    <row r="14" spans="2:12" x14ac:dyDescent="0.2">
      <c r="B14" s="504" t="s">
        <v>1352</v>
      </c>
      <c r="C14" s="504"/>
      <c r="D14" s="187">
        <v>109</v>
      </c>
      <c r="E14" s="187">
        <v>109</v>
      </c>
      <c r="F14" s="187">
        <v>109</v>
      </c>
      <c r="G14" s="187">
        <v>109</v>
      </c>
      <c r="H14" s="187">
        <v>109</v>
      </c>
      <c r="I14" s="187">
        <v>109</v>
      </c>
      <c r="J14" s="187">
        <v>109</v>
      </c>
      <c r="K14" s="187">
        <v>109</v>
      </c>
    </row>
    <row r="15" spans="2:12" x14ac:dyDescent="0.2">
      <c r="B15" s="174"/>
      <c r="C15" s="174"/>
      <c r="D15" s="187" t="s">
        <v>1353</v>
      </c>
      <c r="E15" s="187" t="s">
        <v>1394</v>
      </c>
      <c r="F15" s="187" t="s">
        <v>1395</v>
      </c>
      <c r="G15" s="187" t="s">
        <v>1395</v>
      </c>
      <c r="H15" s="187" t="s">
        <v>1395</v>
      </c>
      <c r="I15" s="187" t="s">
        <v>1395</v>
      </c>
      <c r="J15" s="187" t="s">
        <v>1396</v>
      </c>
      <c r="K15" s="187" t="s">
        <v>1396</v>
      </c>
    </row>
    <row r="16" spans="2:12" ht="18.75" customHeight="1" x14ac:dyDescent="0.2">
      <c r="B16" s="504" t="s">
        <v>1356</v>
      </c>
      <c r="C16" s="504"/>
      <c r="D16" s="505" t="str">
        <f>VLOOKUP(13,TXT,$F$3,0)</f>
        <v>Leistungen [W]</v>
      </c>
      <c r="E16" s="497"/>
      <c r="F16" s="497"/>
      <c r="G16" s="497"/>
      <c r="H16" s="497" t="str">
        <f>VLOOKUP(45,TXT,$F$3,0)</f>
        <v>Wassermassenstrom [kg/h] *</v>
      </c>
      <c r="I16" s="497"/>
      <c r="J16" s="497"/>
      <c r="K16" s="498"/>
    </row>
    <row r="17" spans="2:11" ht="12.75" customHeight="1" x14ac:dyDescent="0.2">
      <c r="B17" s="484">
        <v>750</v>
      </c>
      <c r="C17" s="484"/>
      <c r="D17" s="188">
        <f>ROUND('BASE-C109'!B2*(VLOOKUP(ROUND(((($D$3+$D$4)/2)-$D$5),3),FAKT_C109,2,-1)),0)</f>
        <v>78</v>
      </c>
      <c r="E17" s="175">
        <f>ROUND('BASE-C109'!C2*(VLOOKUP(ROUND(((($D$3+$D$4)/2)-$D$5),3),FAKT_C109,2,-1)),0)</f>
        <v>96</v>
      </c>
      <c r="F17" s="175">
        <f>ROUND('BASE-C109'!D2*(VLOOKUP(ROUND(((($D$3+$D$4)/2)-$D$5),3),FAKT_C109,2,-1)),0)</f>
        <v>127</v>
      </c>
      <c r="G17" s="175">
        <f>ROUND('BASE-C109'!E2*(VLOOKUP(ROUND(((($D$3+$D$4)/2)-$D$5),3),FAKT_C109,2,-1)),0)</f>
        <v>131</v>
      </c>
      <c r="H17" s="175">
        <f>ROUND('BASE-C109'!F2*(VLOOKUP(ROUND(((($D$3+$D$4)/2)-$D$5),3),FAKT_C109,2,-1)),0)</f>
        <v>145</v>
      </c>
      <c r="I17" s="175">
        <f>ROUND('BASE-C109'!G2*(VLOOKUP(ROUND(((($D$3+$D$4)/2)-$D$5),3),FAKT_C109,2,-1)),0)</f>
        <v>154</v>
      </c>
      <c r="J17" s="175">
        <f>ROUND('BASE-C109'!H2*(VLOOKUP(ROUND(((($D$3+$D$4)/2)-$D$5),3),FAKT_C109,2,-1)),0)</f>
        <v>185</v>
      </c>
      <c r="K17" s="176">
        <f>ROUND('BASE-C109'!I2*(VLOOKUP(ROUND(((($D$3+$D$4)/2)-$D$5),3),FAKT_C109,2,-1)),0)</f>
        <v>213</v>
      </c>
    </row>
    <row r="18" spans="2:11" ht="12.75" customHeight="1" x14ac:dyDescent="0.2">
      <c r="B18" s="484"/>
      <c r="C18" s="484"/>
      <c r="D18" s="189">
        <f t="shared" ref="D18:K18" si="0">ROUNDDOWN(D17/(1.161*($D$3-$D$4)),0)</f>
        <v>6</v>
      </c>
      <c r="E18" s="177">
        <f t="shared" si="0"/>
        <v>8</v>
      </c>
      <c r="F18" s="177">
        <f t="shared" si="0"/>
        <v>10</v>
      </c>
      <c r="G18" s="177">
        <f t="shared" si="0"/>
        <v>11</v>
      </c>
      <c r="H18" s="177">
        <f t="shared" si="0"/>
        <v>12</v>
      </c>
      <c r="I18" s="177">
        <f t="shared" si="0"/>
        <v>13</v>
      </c>
      <c r="J18" s="177">
        <f t="shared" si="0"/>
        <v>15</v>
      </c>
      <c r="K18" s="178">
        <f t="shared" si="0"/>
        <v>18</v>
      </c>
    </row>
    <row r="19" spans="2:11" ht="12.75" customHeight="1" x14ac:dyDescent="0.2">
      <c r="B19" s="496">
        <v>850</v>
      </c>
      <c r="C19" s="496">
        <v>1000</v>
      </c>
      <c r="D19" s="190">
        <f>ROUND('BASE-C109'!B3*(VLOOKUP(ROUND(((($D$3+$D$4)/2)-$D$5),3),FAKT_C109,2,-1)),0)</f>
        <v>98</v>
      </c>
      <c r="E19" s="179">
        <f>ROUND('BASE-C109'!C3*(VLOOKUP(ROUND(((($D$3+$D$4)/2)-$D$5),3),FAKT_C109,2,-1)),0)</f>
        <v>120</v>
      </c>
      <c r="F19" s="179">
        <f>ROUND('BASE-C109'!D3*(VLOOKUP(ROUND(((($D$3+$D$4)/2)-$D$5),3),FAKT_C109,2,-1)),0)</f>
        <v>160</v>
      </c>
      <c r="G19" s="179">
        <f>ROUND('BASE-C109'!E3*(VLOOKUP(ROUND(((($D$3+$D$4)/2)-$D$5),3),FAKT_C109,2,-1)),0)</f>
        <v>164</v>
      </c>
      <c r="H19" s="179">
        <f>ROUND('BASE-C109'!F3*(VLOOKUP(ROUND(((($D$3+$D$4)/2)-$D$5),3),FAKT_C109,2,-1)),0)</f>
        <v>182</v>
      </c>
      <c r="I19" s="179">
        <f>ROUND('BASE-C109'!G3*(VLOOKUP(ROUND(((($D$3+$D$4)/2)-$D$5),3),FAKT_C109,2,-1)),0)</f>
        <v>194</v>
      </c>
      <c r="J19" s="179">
        <f>ROUND('BASE-C109'!H3*(VLOOKUP(ROUND(((($D$3+$D$4)/2)-$D$5),3),FAKT_C109,2,-1)),0)</f>
        <v>232</v>
      </c>
      <c r="K19" s="180">
        <f>ROUND('BASE-C109'!I3*(VLOOKUP(ROUND(((($D$3+$D$4)/2)-$D$5),3),FAKT_C109,2,-1)),0)</f>
        <v>267</v>
      </c>
    </row>
    <row r="20" spans="2:11" ht="12.75" customHeight="1" x14ac:dyDescent="0.2">
      <c r="B20" s="496"/>
      <c r="C20" s="496"/>
      <c r="D20" s="191">
        <f t="shared" ref="D20:K20" si="1">ROUNDDOWN(D19/(1.161*($D$3-$D$4)),0)</f>
        <v>8</v>
      </c>
      <c r="E20" s="181">
        <f t="shared" si="1"/>
        <v>10</v>
      </c>
      <c r="F20" s="181">
        <f t="shared" si="1"/>
        <v>13</v>
      </c>
      <c r="G20" s="181">
        <f t="shared" si="1"/>
        <v>14</v>
      </c>
      <c r="H20" s="181">
        <f t="shared" si="1"/>
        <v>15</v>
      </c>
      <c r="I20" s="181">
        <f t="shared" si="1"/>
        <v>16</v>
      </c>
      <c r="J20" s="181">
        <f t="shared" si="1"/>
        <v>19</v>
      </c>
      <c r="K20" s="182">
        <f t="shared" si="1"/>
        <v>22</v>
      </c>
    </row>
    <row r="21" spans="2:11" ht="12.75" customHeight="1" x14ac:dyDescent="0.2">
      <c r="B21" s="482">
        <v>950</v>
      </c>
      <c r="C21" s="482"/>
      <c r="D21" s="188">
        <f>ROUND('BASE-C109'!B4*(VLOOKUP(ROUND(((($D$3+$D$4)/2)-$D$5),3),FAKT_C109,2,-1)),0)</f>
        <v>118</v>
      </c>
      <c r="E21" s="175">
        <f>ROUND('BASE-C109'!C4*(VLOOKUP(ROUND(((($D$3+$D$4)/2)-$D$5),3),FAKT_C109,2,-1)),0)</f>
        <v>144</v>
      </c>
      <c r="F21" s="175">
        <f>ROUND('BASE-C109'!D4*(VLOOKUP(ROUND(((($D$3+$D$4)/2)-$D$5),3),FAKT_C109,2,-1)),0)</f>
        <v>192</v>
      </c>
      <c r="G21" s="175">
        <f>ROUND('BASE-C109'!E4*(VLOOKUP(ROUND(((($D$3+$D$4)/2)-$D$5),3),FAKT_C109,2,-1)),0)</f>
        <v>198</v>
      </c>
      <c r="H21" s="175">
        <f>ROUND('BASE-C109'!F4*(VLOOKUP(ROUND(((($D$3+$D$4)/2)-$D$5),3),FAKT_C109,2,-1)),0)</f>
        <v>220</v>
      </c>
      <c r="I21" s="175">
        <f>ROUND('BASE-C109'!G4*(VLOOKUP(ROUND(((($D$3+$D$4)/2)-$D$5),3),FAKT_C109,2,-1)),0)</f>
        <v>233</v>
      </c>
      <c r="J21" s="175">
        <f>ROUND('BASE-C109'!H4*(VLOOKUP(ROUND(((($D$3+$D$4)/2)-$D$5),3),FAKT_C109,2,-1)),0)</f>
        <v>279</v>
      </c>
      <c r="K21" s="176">
        <f>ROUND('BASE-C109'!I4*(VLOOKUP(ROUND(((($D$3+$D$4)/2)-$D$5),3),FAKT_C109,2,-1)),0)</f>
        <v>321</v>
      </c>
    </row>
    <row r="22" spans="2:11" ht="12.75" customHeight="1" x14ac:dyDescent="0.2">
      <c r="B22" s="482"/>
      <c r="C22" s="482"/>
      <c r="D22" s="189">
        <f t="shared" ref="D22:K22" si="2">ROUNDDOWN(D21/(1.161*($D$3-$D$4)),0)</f>
        <v>10</v>
      </c>
      <c r="E22" s="177">
        <f t="shared" si="2"/>
        <v>12</v>
      </c>
      <c r="F22" s="177">
        <f t="shared" si="2"/>
        <v>16</v>
      </c>
      <c r="G22" s="177">
        <f t="shared" si="2"/>
        <v>17</v>
      </c>
      <c r="H22" s="177">
        <f t="shared" si="2"/>
        <v>18</v>
      </c>
      <c r="I22" s="177">
        <f t="shared" si="2"/>
        <v>20</v>
      </c>
      <c r="J22" s="177">
        <f t="shared" si="2"/>
        <v>24</v>
      </c>
      <c r="K22" s="178">
        <f t="shared" si="2"/>
        <v>27</v>
      </c>
    </row>
    <row r="23" spans="2:11" ht="12.75" customHeight="1" x14ac:dyDescent="0.2">
      <c r="B23" s="496">
        <v>1050</v>
      </c>
      <c r="C23" s="496"/>
      <c r="D23" s="190">
        <f>ROUND('BASE-C109'!B5*(VLOOKUP(ROUND(((($D$3+$D$4)/2)-$D$5),3),FAKT_C109,2,-1)),0)</f>
        <v>138</v>
      </c>
      <c r="E23" s="179">
        <f>ROUND('BASE-C109'!C5*(VLOOKUP(ROUND(((($D$3+$D$4)/2)-$D$5),3),FAKT_C109,2,-1)),0)</f>
        <v>168</v>
      </c>
      <c r="F23" s="179">
        <f>ROUND('BASE-C109'!D5*(VLOOKUP(ROUND(((($D$3+$D$4)/2)-$D$5),3),FAKT_C109,2,-1)),0)</f>
        <v>225</v>
      </c>
      <c r="G23" s="179">
        <f>ROUND('BASE-C109'!E5*(VLOOKUP(ROUND(((($D$3+$D$4)/2)-$D$5),3),FAKT_C109,2,-1)),0)</f>
        <v>231</v>
      </c>
      <c r="H23" s="179">
        <f>ROUND('BASE-C109'!F5*(VLOOKUP(ROUND(((($D$3+$D$4)/2)-$D$5),3),FAKT_C109,2,-1)),0)</f>
        <v>257</v>
      </c>
      <c r="I23" s="179">
        <f>ROUND('BASE-C109'!G5*(VLOOKUP(ROUND(((($D$3+$D$4)/2)-$D$5),3),FAKT_C109,2,-1)),0)</f>
        <v>273</v>
      </c>
      <c r="J23" s="179">
        <f>ROUND('BASE-C109'!H5*(VLOOKUP(ROUND(((($D$3+$D$4)/2)-$D$5),3),FAKT_C109,2,-1)),0)</f>
        <v>326</v>
      </c>
      <c r="K23" s="180">
        <f>ROUND('BASE-C109'!I5*(VLOOKUP(ROUND(((($D$3+$D$4)/2)-$D$5),3),FAKT_C109,2,-1)),0)</f>
        <v>375</v>
      </c>
    </row>
    <row r="24" spans="2:11" ht="12.75" customHeight="1" x14ac:dyDescent="0.2">
      <c r="B24" s="496"/>
      <c r="C24" s="496"/>
      <c r="D24" s="191">
        <f t="shared" ref="D24:K24" si="3">ROUNDDOWN(D23/(1.161*($D$3-$D$4)),0)</f>
        <v>11</v>
      </c>
      <c r="E24" s="181">
        <f t="shared" si="3"/>
        <v>14</v>
      </c>
      <c r="F24" s="181">
        <f t="shared" si="3"/>
        <v>19</v>
      </c>
      <c r="G24" s="181">
        <f t="shared" si="3"/>
        <v>19</v>
      </c>
      <c r="H24" s="181">
        <f t="shared" si="3"/>
        <v>22</v>
      </c>
      <c r="I24" s="181">
        <f t="shared" si="3"/>
        <v>23</v>
      </c>
      <c r="J24" s="181">
        <f t="shared" si="3"/>
        <v>28</v>
      </c>
      <c r="K24" s="182">
        <f t="shared" si="3"/>
        <v>32</v>
      </c>
    </row>
    <row r="25" spans="2:11" ht="12.75" customHeight="1" x14ac:dyDescent="0.2">
      <c r="B25" s="482">
        <v>1150</v>
      </c>
      <c r="C25" s="482"/>
      <c r="D25" s="188">
        <f>ROUND('BASE-C109'!B6*(VLOOKUP(ROUND(((($D$3+$D$4)/2)-$D$5),3),FAKT_C109,2,-1)),0)</f>
        <v>158</v>
      </c>
      <c r="E25" s="175">
        <f>ROUND('BASE-C109'!C6*(VLOOKUP(ROUND(((($D$3+$D$4)/2)-$D$5),3),FAKT_C109,2,-1)),0)</f>
        <v>193</v>
      </c>
      <c r="F25" s="175">
        <f>ROUND('BASE-C109'!D6*(VLOOKUP(ROUND(((($D$3+$D$4)/2)-$D$5),3),FAKT_C109,2,-1)),0)</f>
        <v>258</v>
      </c>
      <c r="G25" s="175">
        <f>ROUND('BASE-C109'!E6*(VLOOKUP(ROUND(((($D$3+$D$4)/2)-$D$5),3),FAKT_C109,2,-1)),0)</f>
        <v>265</v>
      </c>
      <c r="H25" s="175">
        <f>ROUND('BASE-C109'!F6*(VLOOKUP(ROUND(((($D$3+$D$4)/2)-$D$5),3),FAKT_C109,2,-1)),0)</f>
        <v>294</v>
      </c>
      <c r="I25" s="175">
        <f>ROUND('BASE-C109'!G6*(VLOOKUP(ROUND(((($D$3+$D$4)/2)-$D$5),3),FAKT_C109,2,-1)),0)</f>
        <v>312</v>
      </c>
      <c r="J25" s="175">
        <f>ROUND('BASE-C109'!H6*(VLOOKUP(ROUND(((($D$3+$D$4)/2)-$D$5),3),FAKT_C109,2,-1)),0)</f>
        <v>372</v>
      </c>
      <c r="K25" s="176">
        <f>ROUND('BASE-C109'!I6*(VLOOKUP(ROUND(((($D$3+$D$4)/2)-$D$5),3),FAKT_C109,2,-1)),0)</f>
        <v>428</v>
      </c>
    </row>
    <row r="26" spans="2:11" ht="12.75" customHeight="1" x14ac:dyDescent="0.2">
      <c r="B26" s="482"/>
      <c r="C26" s="482"/>
      <c r="D26" s="189">
        <f t="shared" ref="D26:K26" si="4">ROUNDDOWN(D25/(1.161*($D$3-$D$4)),0)</f>
        <v>13</v>
      </c>
      <c r="E26" s="177">
        <f t="shared" si="4"/>
        <v>16</v>
      </c>
      <c r="F26" s="177">
        <f t="shared" si="4"/>
        <v>22</v>
      </c>
      <c r="G26" s="177">
        <f t="shared" si="4"/>
        <v>22</v>
      </c>
      <c r="H26" s="177">
        <f t="shared" si="4"/>
        <v>25</v>
      </c>
      <c r="I26" s="177">
        <f t="shared" si="4"/>
        <v>26</v>
      </c>
      <c r="J26" s="177">
        <f t="shared" si="4"/>
        <v>32</v>
      </c>
      <c r="K26" s="178">
        <f t="shared" si="4"/>
        <v>36</v>
      </c>
    </row>
    <row r="27" spans="2:11" ht="12.75" customHeight="1" x14ac:dyDescent="0.2">
      <c r="B27" s="496">
        <v>1250</v>
      </c>
      <c r="C27" s="496"/>
      <c r="D27" s="190">
        <f>ROUND('BASE-C109'!B7*(VLOOKUP(ROUND(((($D$3+$D$4)/2)-$D$5),3),FAKT_C109,2,-1)),0)</f>
        <v>177</v>
      </c>
      <c r="E27" s="179">
        <f>ROUND('BASE-C109'!C7*(VLOOKUP(ROUND(((($D$3+$D$4)/2)-$D$5),3),FAKT_C109,2,-1)),0)</f>
        <v>217</v>
      </c>
      <c r="F27" s="179">
        <f>ROUND('BASE-C109'!D7*(VLOOKUP(ROUND(((($D$3+$D$4)/2)-$D$5),3),FAKT_C109,2,-1)),0)</f>
        <v>290</v>
      </c>
      <c r="G27" s="179">
        <f>ROUND('BASE-C109'!E7*(VLOOKUP(ROUND(((($D$3+$D$4)/2)-$D$5),3),FAKT_C109,2,-1)),0)</f>
        <v>299</v>
      </c>
      <c r="H27" s="179">
        <f>ROUND('BASE-C109'!F7*(VLOOKUP(ROUND(((($D$3+$D$4)/2)-$D$5),3),FAKT_C109,2,-1)),0)</f>
        <v>331</v>
      </c>
      <c r="I27" s="179">
        <f>ROUND('BASE-C109'!G7*(VLOOKUP(ROUND(((($D$3+$D$4)/2)-$D$5),3),FAKT_C109,2,-1)),0)</f>
        <v>352</v>
      </c>
      <c r="J27" s="179">
        <f>ROUND('BASE-C109'!H7*(VLOOKUP(ROUND(((($D$3+$D$4)/2)-$D$5),3),FAKT_C109,2,-1)),0)</f>
        <v>419</v>
      </c>
      <c r="K27" s="180">
        <f>ROUND('BASE-C109'!I7*(VLOOKUP(ROUND(((($D$3+$D$4)/2)-$D$5),3),FAKT_C109,2,-1)),0)</f>
        <v>482</v>
      </c>
    </row>
    <row r="28" spans="2:11" ht="12.75" customHeight="1" x14ac:dyDescent="0.2">
      <c r="B28" s="496"/>
      <c r="C28" s="496"/>
      <c r="D28" s="191">
        <f t="shared" ref="D28:K28" si="5">ROUNDDOWN(D27/(1.161*($D$3-$D$4)),0)</f>
        <v>15</v>
      </c>
      <c r="E28" s="181">
        <f t="shared" si="5"/>
        <v>18</v>
      </c>
      <c r="F28" s="181">
        <f t="shared" si="5"/>
        <v>24</v>
      </c>
      <c r="G28" s="181">
        <f t="shared" si="5"/>
        <v>25</v>
      </c>
      <c r="H28" s="181">
        <f t="shared" si="5"/>
        <v>28</v>
      </c>
      <c r="I28" s="181">
        <f t="shared" si="5"/>
        <v>30</v>
      </c>
      <c r="J28" s="181">
        <f t="shared" si="5"/>
        <v>36</v>
      </c>
      <c r="K28" s="182">
        <f t="shared" si="5"/>
        <v>41</v>
      </c>
    </row>
    <row r="29" spans="2:11" ht="12.75" customHeight="1" x14ac:dyDescent="0.2">
      <c r="B29" s="482">
        <v>1350</v>
      </c>
      <c r="C29" s="482"/>
      <c r="D29" s="188">
        <f>ROUND('BASE-C109'!B8*(VLOOKUP(ROUND(((($D$3+$D$4)/2)-$D$5),3),FAKT_C109,2,-1)),0)</f>
        <v>196</v>
      </c>
      <c r="E29" s="175">
        <f>ROUND('BASE-C109'!C8*(VLOOKUP(ROUND(((($D$3+$D$4)/2)-$D$5),3),FAKT_C109,2,-1)),0)</f>
        <v>241</v>
      </c>
      <c r="F29" s="175">
        <f>ROUND('BASE-C109'!D8*(VLOOKUP(ROUND(((($D$3+$D$4)/2)-$D$5),3),FAKT_C109,2,-1)),0)</f>
        <v>322</v>
      </c>
      <c r="G29" s="175">
        <f>ROUND('BASE-C109'!E8*(VLOOKUP(ROUND(((($D$3+$D$4)/2)-$D$5),3),FAKT_C109,2,-1)),0)</f>
        <v>331</v>
      </c>
      <c r="H29" s="175">
        <f>ROUND('BASE-C109'!F8*(VLOOKUP(ROUND(((($D$3+$D$4)/2)-$D$5),3),FAKT_C109,2,-1)),0)</f>
        <v>368</v>
      </c>
      <c r="I29" s="175">
        <f>ROUND('BASE-C109'!G8*(VLOOKUP(ROUND(((($D$3+$D$4)/2)-$D$5),3),FAKT_C109,2,-1)),0)</f>
        <v>390</v>
      </c>
      <c r="J29" s="175">
        <f>ROUND('BASE-C109'!H8*(VLOOKUP(ROUND(((($D$3+$D$4)/2)-$D$5),3),FAKT_C109,2,-1)),0)</f>
        <v>466</v>
      </c>
      <c r="K29" s="176">
        <f>ROUND('BASE-C109'!I8*(VLOOKUP(ROUND(((($D$3+$D$4)/2)-$D$5),3),FAKT_C109,2,-1)),0)</f>
        <v>536</v>
      </c>
    </row>
    <row r="30" spans="2:11" ht="12.75" customHeight="1" x14ac:dyDescent="0.2">
      <c r="B30" s="482"/>
      <c r="C30" s="482"/>
      <c r="D30" s="189">
        <f t="shared" ref="D30:K30" si="6">ROUNDDOWN(D29/(1.161*($D$3-$D$4)),0)</f>
        <v>16</v>
      </c>
      <c r="E30" s="177">
        <f t="shared" si="6"/>
        <v>20</v>
      </c>
      <c r="F30" s="177">
        <f t="shared" si="6"/>
        <v>27</v>
      </c>
      <c r="G30" s="177">
        <f t="shared" si="6"/>
        <v>28</v>
      </c>
      <c r="H30" s="177">
        <f t="shared" si="6"/>
        <v>31</v>
      </c>
      <c r="I30" s="177">
        <f t="shared" si="6"/>
        <v>33</v>
      </c>
      <c r="J30" s="177">
        <f t="shared" si="6"/>
        <v>40</v>
      </c>
      <c r="K30" s="178">
        <f t="shared" si="6"/>
        <v>46</v>
      </c>
    </row>
    <row r="31" spans="2:11" ht="12.75" customHeight="1" x14ac:dyDescent="0.2">
      <c r="B31" s="496">
        <v>1550</v>
      </c>
      <c r="C31" s="496"/>
      <c r="D31" s="190">
        <f>ROUND('BASE-C109'!B9*(VLOOKUP(ROUND(((($D$3+$D$4)/2)-$D$5),3),FAKT_C109,2,-1)),0)</f>
        <v>236</v>
      </c>
      <c r="E31" s="179">
        <f>ROUND('BASE-C109'!C9*(VLOOKUP(ROUND(((($D$3+$D$4)/2)-$D$5),3),FAKT_C109,2,-1)),0)</f>
        <v>288</v>
      </c>
      <c r="F31" s="179">
        <f>ROUND('BASE-C109'!D9*(VLOOKUP(ROUND(((($D$3+$D$4)/2)-$D$5),3),FAKT_C109,2,-1)),0)</f>
        <v>386</v>
      </c>
      <c r="G31" s="179">
        <f>ROUND('BASE-C109'!E9*(VLOOKUP(ROUND(((($D$3+$D$4)/2)-$D$5),3),FAKT_C109,2,-1)),0)</f>
        <v>397</v>
      </c>
      <c r="H31" s="179">
        <f>ROUND('BASE-C109'!F9*(VLOOKUP(ROUND(((($D$3+$D$4)/2)-$D$5),3),FAKT_C109,2,-1)),0)</f>
        <v>441</v>
      </c>
      <c r="I31" s="179">
        <f>ROUND('BASE-C109'!G9*(VLOOKUP(ROUND(((($D$3+$D$4)/2)-$D$5),3),FAKT_C109,2,-1)),0)</f>
        <v>468</v>
      </c>
      <c r="J31" s="179">
        <f>ROUND('BASE-C109'!H9*(VLOOKUP(ROUND(((($D$3+$D$4)/2)-$D$5),3),FAKT_C109,2,-1)),0)</f>
        <v>559</v>
      </c>
      <c r="K31" s="180">
        <f>ROUND('BASE-C109'!I9*(VLOOKUP(ROUND(((($D$3+$D$4)/2)-$D$5),3),FAKT_C109,2,-1)),0)</f>
        <v>643</v>
      </c>
    </row>
    <row r="32" spans="2:11" ht="12.75" customHeight="1" x14ac:dyDescent="0.2">
      <c r="B32" s="496"/>
      <c r="C32" s="496"/>
      <c r="D32" s="191">
        <f t="shared" ref="D32:K32" si="7">ROUNDDOWN(D31/(1.161*($D$3-$D$4)),0)</f>
        <v>20</v>
      </c>
      <c r="E32" s="181">
        <f t="shared" si="7"/>
        <v>24</v>
      </c>
      <c r="F32" s="181">
        <f t="shared" si="7"/>
        <v>33</v>
      </c>
      <c r="G32" s="181">
        <f t="shared" si="7"/>
        <v>34</v>
      </c>
      <c r="H32" s="181">
        <f t="shared" si="7"/>
        <v>37</v>
      </c>
      <c r="I32" s="181">
        <f t="shared" si="7"/>
        <v>40</v>
      </c>
      <c r="J32" s="181">
        <f t="shared" si="7"/>
        <v>48</v>
      </c>
      <c r="K32" s="182">
        <f t="shared" si="7"/>
        <v>55</v>
      </c>
    </row>
    <row r="33" spans="2:11" ht="12.75" customHeight="1" x14ac:dyDescent="0.2">
      <c r="B33" s="482">
        <v>1750</v>
      </c>
      <c r="C33" s="482"/>
      <c r="D33" s="188">
        <f>ROUND('BASE-C109'!B10*(VLOOKUP(ROUND(((($D$3+$D$4)/2)-$D$5),3),FAKT_C109,2,-1)),0)</f>
        <v>275</v>
      </c>
      <c r="E33" s="175">
        <f>ROUND('BASE-C109'!C10*(VLOOKUP(ROUND(((($D$3+$D$4)/2)-$D$5),3),FAKT_C109,2,-1)),0)</f>
        <v>338</v>
      </c>
      <c r="F33" s="175">
        <f>ROUND('BASE-C109'!D10*(VLOOKUP(ROUND(((($D$3+$D$4)/2)-$D$5),3),FAKT_C109,2,-1)),0)</f>
        <v>452</v>
      </c>
      <c r="G33" s="175">
        <f>ROUND('BASE-C109'!E10*(VLOOKUP(ROUND(((($D$3+$D$4)/2)-$D$5),3),FAKT_C109,2,-1)),0)</f>
        <v>464</v>
      </c>
      <c r="H33" s="175">
        <f>ROUND('BASE-C109'!F10*(VLOOKUP(ROUND(((($D$3+$D$4)/2)-$D$5),3),FAKT_C109,2,-1)),0)</f>
        <v>515</v>
      </c>
      <c r="I33" s="175">
        <f>ROUND('BASE-C109'!G10*(VLOOKUP(ROUND(((($D$3+$D$4)/2)-$D$5),3),FAKT_C109,2,-1)),0)</f>
        <v>547</v>
      </c>
      <c r="J33" s="175">
        <f>ROUND('BASE-C109'!H10*(VLOOKUP(ROUND(((($D$3+$D$4)/2)-$D$5),3),FAKT_C109,2,-1)),0)</f>
        <v>652</v>
      </c>
      <c r="K33" s="176">
        <f>ROUND('BASE-C109'!I10*(VLOOKUP(ROUND(((($D$3+$D$4)/2)-$D$5),3),FAKT_C109,2,-1)),0)</f>
        <v>750</v>
      </c>
    </row>
    <row r="34" spans="2:11" ht="12.75" customHeight="1" x14ac:dyDescent="0.2">
      <c r="B34" s="482"/>
      <c r="C34" s="482"/>
      <c r="D34" s="189">
        <f t="shared" ref="D34:K34" si="8">ROUNDDOWN(D33/(1.161*($D$3-$D$4)),0)</f>
        <v>23</v>
      </c>
      <c r="E34" s="177">
        <f t="shared" si="8"/>
        <v>29</v>
      </c>
      <c r="F34" s="177">
        <f t="shared" si="8"/>
        <v>38</v>
      </c>
      <c r="G34" s="177">
        <f t="shared" si="8"/>
        <v>39</v>
      </c>
      <c r="H34" s="177">
        <f t="shared" si="8"/>
        <v>44</v>
      </c>
      <c r="I34" s="177">
        <f t="shared" si="8"/>
        <v>47</v>
      </c>
      <c r="J34" s="177">
        <f t="shared" si="8"/>
        <v>56</v>
      </c>
      <c r="K34" s="178">
        <f t="shared" si="8"/>
        <v>64</v>
      </c>
    </row>
    <row r="35" spans="2:11" ht="12.75" customHeight="1" x14ac:dyDescent="0.2">
      <c r="B35" s="496">
        <v>1950</v>
      </c>
      <c r="C35" s="496"/>
      <c r="D35" s="190">
        <f>ROUND('BASE-C109'!B11*(VLOOKUP(ROUND(((($D$3+$D$4)/2)-$D$5),3),FAKT_C109,2,-1)),0)</f>
        <v>314</v>
      </c>
      <c r="E35" s="179">
        <f>ROUND('BASE-C109'!C11*(VLOOKUP(ROUND(((($D$3+$D$4)/2)-$D$5),3),FAKT_C109,2,-1)),0)</f>
        <v>385</v>
      </c>
      <c r="F35" s="179">
        <f>ROUND('BASE-C109'!D11*(VLOOKUP(ROUND(((($D$3+$D$4)/2)-$D$5),3),FAKT_C109,2,-1)),0)</f>
        <v>515</v>
      </c>
      <c r="G35" s="179">
        <f>ROUND('BASE-C109'!E11*(VLOOKUP(ROUND(((($D$3+$D$4)/2)-$D$5),3),FAKT_C109,2,-1)),0)</f>
        <v>530</v>
      </c>
      <c r="H35" s="179">
        <f>ROUND('BASE-C109'!F11*(VLOOKUP(ROUND(((($D$3+$D$4)/2)-$D$5),3),FAKT_C109,2,-1)),0)</f>
        <v>588</v>
      </c>
      <c r="I35" s="179">
        <f>ROUND('BASE-C109'!G11*(VLOOKUP(ROUND(((($D$3+$D$4)/2)-$D$5),3),FAKT_C109,2,-1)),0)</f>
        <v>624</v>
      </c>
      <c r="J35" s="179">
        <f>ROUND('BASE-C109'!H11*(VLOOKUP(ROUND(((($D$3+$D$4)/2)-$D$5),3),FAKT_C109,2,-1)),0)</f>
        <v>745</v>
      </c>
      <c r="K35" s="180">
        <f>ROUND('BASE-C109'!I11*(VLOOKUP(ROUND(((($D$3+$D$4)/2)-$D$5),3),FAKT_C109,2,-1)),0)</f>
        <v>858</v>
      </c>
    </row>
    <row r="36" spans="2:11" ht="12.75" customHeight="1" x14ac:dyDescent="0.2">
      <c r="B36" s="496"/>
      <c r="C36" s="496"/>
      <c r="D36" s="191">
        <f t="shared" ref="D36:K36" si="9">ROUNDDOWN(D35/(1.161*($D$3-$D$4)),0)</f>
        <v>27</v>
      </c>
      <c r="E36" s="181">
        <f t="shared" si="9"/>
        <v>33</v>
      </c>
      <c r="F36" s="181">
        <f t="shared" si="9"/>
        <v>44</v>
      </c>
      <c r="G36" s="181">
        <f t="shared" si="9"/>
        <v>45</v>
      </c>
      <c r="H36" s="181">
        <f t="shared" si="9"/>
        <v>50</v>
      </c>
      <c r="I36" s="181">
        <f t="shared" si="9"/>
        <v>53</v>
      </c>
      <c r="J36" s="181">
        <f t="shared" si="9"/>
        <v>64</v>
      </c>
      <c r="K36" s="182">
        <f t="shared" si="9"/>
        <v>73</v>
      </c>
    </row>
    <row r="37" spans="2:11" ht="12.75" customHeight="1" x14ac:dyDescent="0.2">
      <c r="B37" s="482">
        <v>2150</v>
      </c>
      <c r="C37" s="482"/>
      <c r="D37" s="188">
        <f>ROUND('BASE-C109'!B12*(VLOOKUP(ROUND(((($D$3+$D$4)/2)-$D$5),3),FAKT_C109,2,-1)),0)</f>
        <v>354</v>
      </c>
      <c r="E37" s="175">
        <f>ROUND('BASE-C109'!C12*(VLOOKUP(ROUND(((($D$3+$D$4)/2)-$D$5),3),FAKT_C109,2,-1)),0)</f>
        <v>433</v>
      </c>
      <c r="F37" s="175">
        <f>ROUND('BASE-C109'!D12*(VLOOKUP(ROUND(((($D$3+$D$4)/2)-$D$5),3),FAKT_C109,2,-1)),0)</f>
        <v>580</v>
      </c>
      <c r="G37" s="175">
        <f>ROUND('BASE-C109'!E12*(VLOOKUP(ROUND(((($D$3+$D$4)/2)-$D$5),3),FAKT_C109,2,-1)),0)</f>
        <v>596</v>
      </c>
      <c r="H37" s="175">
        <f>ROUND('BASE-C109'!F12*(VLOOKUP(ROUND(((($D$3+$D$4)/2)-$D$5),3),FAKT_C109,2,-1)),0)</f>
        <v>662</v>
      </c>
      <c r="I37" s="175">
        <f>ROUND('BASE-C109'!G12*(VLOOKUP(ROUND(((($D$3+$D$4)/2)-$D$5),3),FAKT_C109,2,-1)),0)</f>
        <v>703</v>
      </c>
      <c r="J37" s="175">
        <f>ROUND('BASE-C109'!H12*(VLOOKUP(ROUND(((($D$3+$D$4)/2)-$D$5),3),FAKT_C109,2,-1)),0)</f>
        <v>838</v>
      </c>
      <c r="K37" s="176">
        <f>ROUND('BASE-C109'!I12*(VLOOKUP(ROUND(((($D$3+$D$4)/2)-$D$5),3),FAKT_C109,2,-1)),0)</f>
        <v>964</v>
      </c>
    </row>
    <row r="38" spans="2:11" ht="12.75" customHeight="1" x14ac:dyDescent="0.2">
      <c r="B38" s="482"/>
      <c r="C38" s="482"/>
      <c r="D38" s="189">
        <f t="shared" ref="D38:K38" si="10">ROUNDDOWN(D37/(1.161*($D$3-$D$4)),0)</f>
        <v>30</v>
      </c>
      <c r="E38" s="177">
        <f t="shared" si="10"/>
        <v>37</v>
      </c>
      <c r="F38" s="177">
        <f t="shared" si="10"/>
        <v>49</v>
      </c>
      <c r="G38" s="177">
        <f t="shared" si="10"/>
        <v>51</v>
      </c>
      <c r="H38" s="177">
        <f t="shared" si="10"/>
        <v>57</v>
      </c>
      <c r="I38" s="177">
        <f t="shared" si="10"/>
        <v>60</v>
      </c>
      <c r="J38" s="177">
        <f t="shared" si="10"/>
        <v>72</v>
      </c>
      <c r="K38" s="178">
        <f t="shared" si="10"/>
        <v>83</v>
      </c>
    </row>
    <row r="39" spans="2:11" ht="12.75" customHeight="1" x14ac:dyDescent="0.2">
      <c r="B39" s="496">
        <v>2350</v>
      </c>
      <c r="C39" s="496"/>
      <c r="D39" s="190">
        <f>ROUND('BASE-C109'!B13*(VLOOKUP(ROUND(((($D$3+$D$4)/2)-$D$5),3),FAKT_C109,2,-1)),0)</f>
        <v>393</v>
      </c>
      <c r="E39" s="179">
        <f>ROUND('BASE-C109'!C13*(VLOOKUP(ROUND(((($D$3+$D$4)/2)-$D$5),3),FAKT_C109,2,-1)),0)</f>
        <v>482</v>
      </c>
      <c r="F39" s="179">
        <f>ROUND('BASE-C109'!D13*(VLOOKUP(ROUND(((($D$3+$D$4)/2)-$D$5),3),FAKT_C109,2,-1)),0)</f>
        <v>645</v>
      </c>
      <c r="G39" s="179">
        <f>ROUND('BASE-C109'!E13*(VLOOKUP(ROUND(((($D$3+$D$4)/2)-$D$5),3),FAKT_C109,2,-1)),0)</f>
        <v>663</v>
      </c>
      <c r="H39" s="179">
        <f>ROUND('BASE-C109'!F13*(VLOOKUP(ROUND(((($D$3+$D$4)/2)-$D$5),3),FAKT_C109,2,-1)),0)</f>
        <v>735</v>
      </c>
      <c r="I39" s="179">
        <f>ROUND('BASE-C109'!G13*(VLOOKUP(ROUND(((($D$3+$D$4)/2)-$D$5),3),FAKT_C109,2,-1)),0)</f>
        <v>781</v>
      </c>
      <c r="J39" s="179">
        <f>ROUND('BASE-C109'!H13*(VLOOKUP(ROUND(((($D$3+$D$4)/2)-$D$5),3),FAKT_C109,2,-1)),0)</f>
        <v>931</v>
      </c>
      <c r="K39" s="180">
        <f>ROUND('BASE-C109'!I13*(VLOOKUP(ROUND(((($D$3+$D$4)/2)-$D$5),3),FAKT_C109,2,-1)),0)</f>
        <v>1072</v>
      </c>
    </row>
    <row r="40" spans="2:11" ht="12.75" customHeight="1" x14ac:dyDescent="0.2">
      <c r="B40" s="496"/>
      <c r="C40" s="496"/>
      <c r="D40" s="191">
        <f t="shared" ref="D40:K40" si="11">ROUNDDOWN(D39/(1.161*($D$3-$D$4)),0)</f>
        <v>33</v>
      </c>
      <c r="E40" s="181">
        <f t="shared" si="11"/>
        <v>41</v>
      </c>
      <c r="F40" s="181">
        <f t="shared" si="11"/>
        <v>55</v>
      </c>
      <c r="G40" s="181">
        <f t="shared" si="11"/>
        <v>57</v>
      </c>
      <c r="H40" s="181">
        <f t="shared" si="11"/>
        <v>63</v>
      </c>
      <c r="I40" s="181">
        <f t="shared" si="11"/>
        <v>67</v>
      </c>
      <c r="J40" s="181">
        <f t="shared" si="11"/>
        <v>80</v>
      </c>
      <c r="K40" s="182">
        <f t="shared" si="11"/>
        <v>92</v>
      </c>
    </row>
    <row r="41" spans="2:11" ht="12.75" customHeight="1" x14ac:dyDescent="0.2">
      <c r="B41" s="482">
        <v>2550</v>
      </c>
      <c r="C41" s="482"/>
      <c r="D41" s="188">
        <f>ROUND('BASE-C109'!B14*(VLOOKUP(ROUND(((($D$3+$D$4)/2)-$D$5),3),FAKT_C109,2,-1)),0)</f>
        <v>432</v>
      </c>
      <c r="E41" s="175">
        <f>ROUND('BASE-C109'!C14*(VLOOKUP(ROUND(((($D$3+$D$4)/2)-$D$5),3),FAKT_C109,2,-1)),0)</f>
        <v>529</v>
      </c>
      <c r="F41" s="175">
        <f>ROUND('BASE-C109'!D14*(VLOOKUP(ROUND(((($D$3+$D$4)/2)-$D$5),3),FAKT_C109,2,-1)),0)</f>
        <v>709</v>
      </c>
      <c r="G41" s="175">
        <f>ROUND('BASE-C109'!E14*(VLOOKUP(ROUND(((($D$3+$D$4)/2)-$D$5),3),FAKT_C109,2,-1)),0)</f>
        <v>729</v>
      </c>
      <c r="H41" s="175">
        <f>ROUND('BASE-C109'!F14*(VLOOKUP(ROUND(((($D$3+$D$4)/2)-$D$5),3),FAKT_C109,2,-1)),0)</f>
        <v>808</v>
      </c>
      <c r="I41" s="175">
        <f>ROUND('BASE-C109'!G14*(VLOOKUP(ROUND(((($D$3+$D$4)/2)-$D$5),3),FAKT_C109,2,-1)),0)</f>
        <v>858</v>
      </c>
      <c r="J41" s="175">
        <f>ROUND('BASE-C109'!H14*(VLOOKUP(ROUND(((($D$3+$D$4)/2)-$D$5),3),FAKT_C109,2,-1)),0)</f>
        <v>1025</v>
      </c>
      <c r="K41" s="176">
        <f>ROUND('BASE-C109'!I14*(VLOOKUP(ROUND(((($D$3+$D$4)/2)-$D$5),3),FAKT_C109,2,-1)),0)</f>
        <v>1179</v>
      </c>
    </row>
    <row r="42" spans="2:11" ht="12.75" customHeight="1" x14ac:dyDescent="0.2">
      <c r="B42" s="482"/>
      <c r="C42" s="482"/>
      <c r="D42" s="189">
        <f t="shared" ref="D42:K42" si="12">ROUNDDOWN(D41/(1.161*($D$3-$D$4)),0)</f>
        <v>37</v>
      </c>
      <c r="E42" s="177">
        <f t="shared" si="12"/>
        <v>45</v>
      </c>
      <c r="F42" s="177">
        <f t="shared" si="12"/>
        <v>61</v>
      </c>
      <c r="G42" s="177">
        <f t="shared" si="12"/>
        <v>62</v>
      </c>
      <c r="H42" s="177">
        <f t="shared" si="12"/>
        <v>69</v>
      </c>
      <c r="I42" s="177">
        <f t="shared" si="12"/>
        <v>73</v>
      </c>
      <c r="J42" s="177">
        <f t="shared" si="12"/>
        <v>88</v>
      </c>
      <c r="K42" s="178">
        <f t="shared" si="12"/>
        <v>101</v>
      </c>
    </row>
    <row r="43" spans="2:11" ht="12.75" customHeight="1" x14ac:dyDescent="0.2">
      <c r="B43" s="496">
        <v>2750</v>
      </c>
      <c r="C43" s="496"/>
      <c r="D43" s="190">
        <f>ROUND('BASE-C109'!B15*(VLOOKUP(ROUND(((($D$3+$D$4)/2)-$D$5),3),FAKT_C109,2,-1)),0)</f>
        <v>472</v>
      </c>
      <c r="E43" s="179">
        <f>ROUND('BASE-C109'!C15*(VLOOKUP(ROUND(((($D$3+$D$4)/2)-$D$5),3),FAKT_C109,2,-1)),0)</f>
        <v>578</v>
      </c>
      <c r="F43" s="179">
        <f>ROUND('BASE-C109'!D15*(VLOOKUP(ROUND(((($D$3+$D$4)/2)-$D$5),3),FAKT_C109,2,-1)),0)</f>
        <v>774</v>
      </c>
      <c r="G43" s="179">
        <f>ROUND('BASE-C109'!E15*(VLOOKUP(ROUND(((($D$3+$D$4)/2)-$D$5),3),FAKT_C109,2,-1)),0)</f>
        <v>796</v>
      </c>
      <c r="H43" s="179">
        <f>ROUND('BASE-C109'!F15*(VLOOKUP(ROUND(((($D$3+$D$4)/2)-$D$5),3),FAKT_C109,2,-1)),0)</f>
        <v>883</v>
      </c>
      <c r="I43" s="179">
        <f>ROUND('BASE-C109'!G15*(VLOOKUP(ROUND(((($D$3+$D$4)/2)-$D$5),3),FAKT_C109,2,-1)),0)</f>
        <v>937</v>
      </c>
      <c r="J43" s="179">
        <f>ROUND('BASE-C109'!H15*(VLOOKUP(ROUND(((($D$3+$D$4)/2)-$D$5),3),FAKT_C109,2,-1)),0)</f>
        <v>1118</v>
      </c>
      <c r="K43" s="180">
        <f>ROUND('BASE-C109'!I15*(VLOOKUP(ROUND(((($D$3+$D$4)/2)-$D$5),3),FAKT_C109,2,-1)),0)</f>
        <v>1286</v>
      </c>
    </row>
    <row r="44" spans="2:11" ht="12.75" customHeight="1" x14ac:dyDescent="0.2">
      <c r="B44" s="496"/>
      <c r="C44" s="496"/>
      <c r="D44" s="191">
        <f t="shared" ref="D44:K44" si="13">ROUNDDOWN(D43/(1.161*($D$3-$D$4)),0)</f>
        <v>40</v>
      </c>
      <c r="E44" s="181">
        <f t="shared" si="13"/>
        <v>49</v>
      </c>
      <c r="F44" s="181">
        <f t="shared" si="13"/>
        <v>66</v>
      </c>
      <c r="G44" s="181">
        <f t="shared" si="13"/>
        <v>68</v>
      </c>
      <c r="H44" s="181">
        <f t="shared" si="13"/>
        <v>76</v>
      </c>
      <c r="I44" s="181">
        <f t="shared" si="13"/>
        <v>80</v>
      </c>
      <c r="J44" s="181">
        <f t="shared" si="13"/>
        <v>96</v>
      </c>
      <c r="K44" s="182">
        <f t="shared" si="13"/>
        <v>110</v>
      </c>
    </row>
    <row r="45" spans="2:11" ht="12.75" customHeight="1" x14ac:dyDescent="0.2">
      <c r="B45" s="482">
        <v>2950</v>
      </c>
      <c r="C45" s="482"/>
      <c r="D45" s="188">
        <f>ROUND('BASE-C109'!B16*(VLOOKUP(ROUND(((($D$3+$D$4)/2)-$D$5),3),FAKT_C109,2,-1)),0)</f>
        <v>511</v>
      </c>
      <c r="E45" s="175">
        <f>ROUND('BASE-C109'!C16*(VLOOKUP(ROUND(((($D$3+$D$4)/2)-$D$5),3),FAKT_C109,2,-1)),0)</f>
        <v>626</v>
      </c>
      <c r="F45" s="175">
        <f>ROUND('BASE-C109'!D16*(VLOOKUP(ROUND(((($D$3+$D$4)/2)-$D$5),3),FAKT_C109,2,-1)),0)</f>
        <v>838</v>
      </c>
      <c r="G45" s="175">
        <f>ROUND('BASE-C109'!E16*(VLOOKUP(ROUND(((($D$3+$D$4)/2)-$D$5),3),FAKT_C109,2,-1)),0)</f>
        <v>861</v>
      </c>
      <c r="H45" s="175">
        <f>ROUND('BASE-C109'!F16*(VLOOKUP(ROUND(((($D$3+$D$4)/2)-$D$5),3),FAKT_C109,2,-1)),0)</f>
        <v>956</v>
      </c>
      <c r="I45" s="175">
        <f>ROUND('BASE-C109'!G16*(VLOOKUP(ROUND(((($D$3+$D$4)/2)-$D$5),3),FAKT_C109,2,-1)),0)</f>
        <v>1015</v>
      </c>
      <c r="J45" s="175">
        <f>ROUND('BASE-C109'!H16*(VLOOKUP(ROUND(((($D$3+$D$4)/2)-$D$5),3),FAKT_C109,2,-1)),0)</f>
        <v>1211</v>
      </c>
      <c r="K45" s="176">
        <f>ROUND('BASE-C109'!I16*(VLOOKUP(ROUND(((($D$3+$D$4)/2)-$D$5),3),FAKT_C109,2,-1)),0)</f>
        <v>1394</v>
      </c>
    </row>
    <row r="46" spans="2:11" ht="12.75" customHeight="1" x14ac:dyDescent="0.2">
      <c r="B46" s="482"/>
      <c r="C46" s="482"/>
      <c r="D46" s="189">
        <f t="shared" ref="D46:K46" si="14">ROUNDDOWN(D45/(1.161*($D$3-$D$4)),0)</f>
        <v>44</v>
      </c>
      <c r="E46" s="177">
        <f t="shared" si="14"/>
        <v>53</v>
      </c>
      <c r="F46" s="177">
        <f t="shared" si="14"/>
        <v>72</v>
      </c>
      <c r="G46" s="177">
        <f t="shared" si="14"/>
        <v>74</v>
      </c>
      <c r="H46" s="177">
        <f t="shared" si="14"/>
        <v>82</v>
      </c>
      <c r="I46" s="177">
        <f t="shared" si="14"/>
        <v>87</v>
      </c>
      <c r="J46" s="177">
        <f t="shared" si="14"/>
        <v>104</v>
      </c>
      <c r="K46" s="178">
        <f t="shared" si="14"/>
        <v>120</v>
      </c>
    </row>
    <row r="47" spans="2:11" ht="12.75" customHeight="1" x14ac:dyDescent="0.2">
      <c r="B47" s="496">
        <v>3150</v>
      </c>
      <c r="C47" s="496"/>
      <c r="D47" s="190">
        <f>ROUND('BASE-C109'!B17*(VLOOKUP(ROUND(((($D$3+$D$4)/2)-$D$5),3),FAKT_C109,2,-1)),0)</f>
        <v>551</v>
      </c>
      <c r="E47" s="179">
        <f>ROUND('BASE-C109'!C17*(VLOOKUP(ROUND(((($D$3+$D$4)/2)-$D$5),3),FAKT_C109,2,-1)),0)</f>
        <v>674</v>
      </c>
      <c r="F47" s="179">
        <f>ROUND('BASE-C109'!D17*(VLOOKUP(ROUND(((($D$3+$D$4)/2)-$D$5),3),FAKT_C109,2,-1)),0)</f>
        <v>902</v>
      </c>
      <c r="G47" s="179">
        <f>ROUND('BASE-C109'!E17*(VLOOKUP(ROUND(((($D$3+$D$4)/2)-$D$5),3),FAKT_C109,2,-1)),0)</f>
        <v>928</v>
      </c>
      <c r="H47" s="179">
        <f>ROUND('BASE-C109'!F17*(VLOOKUP(ROUND(((($D$3+$D$4)/2)-$D$5),3),FAKT_C109,2,-1)),0)</f>
        <v>1030</v>
      </c>
      <c r="I47" s="179">
        <f>ROUND('BASE-C109'!G17*(VLOOKUP(ROUND(((($D$3+$D$4)/2)-$D$5),3),FAKT_C109,2,-1)),0)</f>
        <v>1093</v>
      </c>
      <c r="J47" s="179">
        <f>ROUND('BASE-C109'!H17*(VLOOKUP(ROUND(((($D$3+$D$4)/2)-$D$5),3),FAKT_C109,2,-1)),0)</f>
        <v>1304</v>
      </c>
      <c r="K47" s="180">
        <f>ROUND('BASE-C109'!I17*(VLOOKUP(ROUND(((($D$3+$D$4)/2)-$D$5),3),FAKT_C109,2,-1)),0)</f>
        <v>1500</v>
      </c>
    </row>
    <row r="48" spans="2:11" ht="12.75" customHeight="1" x14ac:dyDescent="0.2">
      <c r="B48" s="496"/>
      <c r="C48" s="496"/>
      <c r="D48" s="191">
        <f t="shared" ref="D48:K48" si="15">ROUNDDOWN(D47/(1.161*($D$3-$D$4)),0)</f>
        <v>47</v>
      </c>
      <c r="E48" s="181">
        <f t="shared" si="15"/>
        <v>58</v>
      </c>
      <c r="F48" s="181">
        <f t="shared" si="15"/>
        <v>77</v>
      </c>
      <c r="G48" s="181">
        <f t="shared" si="15"/>
        <v>79</v>
      </c>
      <c r="H48" s="181">
        <f t="shared" si="15"/>
        <v>88</v>
      </c>
      <c r="I48" s="181">
        <f t="shared" si="15"/>
        <v>94</v>
      </c>
      <c r="J48" s="181">
        <f t="shared" si="15"/>
        <v>112</v>
      </c>
      <c r="K48" s="182">
        <f t="shared" si="15"/>
        <v>129</v>
      </c>
    </row>
    <row r="49" spans="2:11" ht="12.75" customHeight="1" x14ac:dyDescent="0.2">
      <c r="B49" s="482">
        <v>3350</v>
      </c>
      <c r="C49" s="482"/>
      <c r="D49" s="188">
        <f>ROUND('BASE-C109'!B18*(VLOOKUP(ROUND(((($D$3+$D$4)/2)-$D$5),3),FAKT_C109,2,-1)),0)</f>
        <v>590</v>
      </c>
      <c r="E49" s="175">
        <f>ROUND('BASE-C109'!C18*(VLOOKUP(ROUND(((($D$3+$D$4)/2)-$D$5),3),FAKT_C109,2,-1)),0)</f>
        <v>723</v>
      </c>
      <c r="F49" s="175">
        <f>ROUND('BASE-C109'!D18*(VLOOKUP(ROUND(((($D$3+$D$4)/2)-$D$5),3),FAKT_C109,2,-1)),0)</f>
        <v>967</v>
      </c>
      <c r="G49" s="175">
        <f>ROUND('BASE-C109'!E18*(VLOOKUP(ROUND(((($D$3+$D$4)/2)-$D$5),3),FAKT_C109,2,-1)),0)</f>
        <v>994</v>
      </c>
      <c r="H49" s="175">
        <f>ROUND('BASE-C109'!F18*(VLOOKUP(ROUND(((($D$3+$D$4)/2)-$D$5),3),FAKT_C109,2,-1)),0)</f>
        <v>1103</v>
      </c>
      <c r="I49" s="175">
        <f>ROUND('BASE-C109'!G18*(VLOOKUP(ROUND(((($D$3+$D$4)/2)-$D$5),3),FAKT_C109,2,-1)),0)</f>
        <v>1171</v>
      </c>
      <c r="J49" s="175">
        <f>ROUND('BASE-C109'!H18*(VLOOKUP(ROUND(((($D$3+$D$4)/2)-$D$5),3),FAKT_C109,2,-1)),0)</f>
        <v>1397</v>
      </c>
      <c r="K49" s="176">
        <f>ROUND('BASE-C109'!I18*(VLOOKUP(ROUND(((($D$3+$D$4)/2)-$D$5),3),FAKT_C109,2,-1)),0)</f>
        <v>1608</v>
      </c>
    </row>
    <row r="50" spans="2:11" ht="12.75" customHeight="1" x14ac:dyDescent="0.2">
      <c r="B50" s="482"/>
      <c r="C50" s="482"/>
      <c r="D50" s="189">
        <f t="shared" ref="D50:K50" si="16">ROUNDDOWN(D49/(1.161*($D$3-$D$4)),0)</f>
        <v>50</v>
      </c>
      <c r="E50" s="177">
        <f t="shared" si="16"/>
        <v>62</v>
      </c>
      <c r="F50" s="177">
        <f t="shared" si="16"/>
        <v>83</v>
      </c>
      <c r="G50" s="177">
        <f t="shared" si="16"/>
        <v>85</v>
      </c>
      <c r="H50" s="177">
        <f t="shared" si="16"/>
        <v>95</v>
      </c>
      <c r="I50" s="177">
        <f t="shared" si="16"/>
        <v>100</v>
      </c>
      <c r="J50" s="177">
        <f t="shared" si="16"/>
        <v>120</v>
      </c>
      <c r="K50" s="178">
        <f t="shared" si="16"/>
        <v>138</v>
      </c>
    </row>
    <row r="51" spans="2:11" ht="12.75" customHeight="1" x14ac:dyDescent="0.2">
      <c r="B51" s="496">
        <v>3550</v>
      </c>
      <c r="C51" s="496"/>
      <c r="D51" s="190">
        <f>ROUND('BASE-C109'!B19*(VLOOKUP(ROUND(((($D$3+$D$4)/2)-$D$5),3),FAKT_C109,2,-1)),0)</f>
        <v>629</v>
      </c>
      <c r="E51" s="179">
        <f>ROUND('BASE-C109'!C19*(VLOOKUP(ROUND(((($D$3+$D$4)/2)-$D$5),3),FAKT_C109,2,-1)),0)</f>
        <v>771</v>
      </c>
      <c r="F51" s="179">
        <f>ROUND('BASE-C109'!D19*(VLOOKUP(ROUND(((($D$3+$D$4)/2)-$D$5),3),FAKT_C109,2,-1)),0)</f>
        <v>1032</v>
      </c>
      <c r="G51" s="179">
        <f>ROUND('BASE-C109'!E19*(VLOOKUP(ROUND(((($D$3+$D$4)/2)-$D$5),3),FAKT_C109,2,-1)),0)</f>
        <v>1061</v>
      </c>
      <c r="H51" s="179">
        <f>ROUND('BASE-C109'!F19*(VLOOKUP(ROUND(((($D$3+$D$4)/2)-$D$5),3),FAKT_C109,2,-1)),0)</f>
        <v>1177</v>
      </c>
      <c r="I51" s="179">
        <f>ROUND('BASE-C109'!G19*(VLOOKUP(ROUND(((($D$3+$D$4)/2)-$D$5),3),FAKT_C109,2,-1)),0)</f>
        <v>1250</v>
      </c>
      <c r="J51" s="179">
        <f>ROUND('BASE-C109'!H19*(VLOOKUP(ROUND(((($D$3+$D$4)/2)-$D$5),3),FAKT_C109,2,-1)),0)</f>
        <v>1491</v>
      </c>
      <c r="K51" s="180">
        <f>ROUND('BASE-C109'!I19*(VLOOKUP(ROUND(((($D$3+$D$4)/2)-$D$5),3),FAKT_C109,2,-1)),0)</f>
        <v>1715</v>
      </c>
    </row>
    <row r="52" spans="2:11" ht="12.75" customHeight="1" x14ac:dyDescent="0.2">
      <c r="B52" s="496"/>
      <c r="C52" s="496"/>
      <c r="D52" s="191">
        <f t="shared" ref="D52:K52" si="17">ROUNDDOWN(D51/(1.161*($D$3-$D$4)),0)</f>
        <v>54</v>
      </c>
      <c r="E52" s="181">
        <f t="shared" si="17"/>
        <v>66</v>
      </c>
      <c r="F52" s="181">
        <f t="shared" si="17"/>
        <v>88</v>
      </c>
      <c r="G52" s="181">
        <f t="shared" si="17"/>
        <v>91</v>
      </c>
      <c r="H52" s="181">
        <f t="shared" si="17"/>
        <v>101</v>
      </c>
      <c r="I52" s="181">
        <f t="shared" si="17"/>
        <v>107</v>
      </c>
      <c r="J52" s="181">
        <f t="shared" si="17"/>
        <v>128</v>
      </c>
      <c r="K52" s="182">
        <f t="shared" si="17"/>
        <v>147</v>
      </c>
    </row>
    <row r="53" spans="2:11" ht="12.75" customHeight="1" x14ac:dyDescent="0.2">
      <c r="B53" s="482">
        <v>3750</v>
      </c>
      <c r="C53" s="482"/>
      <c r="D53" s="188">
        <f>ROUND('BASE-C109'!B20*(VLOOKUP(ROUND(((($D$3+$D$4)/2)-$D$5),3),FAKT_C109,2,-1)),0)</f>
        <v>669</v>
      </c>
      <c r="E53" s="175">
        <f>ROUND('BASE-C109'!C20*(VLOOKUP(ROUND(((($D$3+$D$4)/2)-$D$5),3),FAKT_C109,2,-1)),0)</f>
        <v>819</v>
      </c>
      <c r="F53" s="175">
        <f>ROUND('BASE-C109'!D20*(VLOOKUP(ROUND(((($D$3+$D$4)/2)-$D$5),3),FAKT_C109,2,-1)),0)</f>
        <v>1096</v>
      </c>
      <c r="G53" s="175">
        <f>ROUND('BASE-C109'!E20*(VLOOKUP(ROUND(((($D$3+$D$4)/2)-$D$5),3),FAKT_C109,2,-1)),0)</f>
        <v>1127</v>
      </c>
      <c r="H53" s="175">
        <f>ROUND('BASE-C109'!F20*(VLOOKUP(ROUND(((($D$3+$D$4)/2)-$D$5),3),FAKT_C109,2,-1)),0)</f>
        <v>1251</v>
      </c>
      <c r="I53" s="175">
        <f>ROUND('BASE-C109'!G20*(VLOOKUP(ROUND(((($D$3+$D$4)/2)-$D$5),3),FAKT_C109,2,-1)),0)</f>
        <v>1328</v>
      </c>
      <c r="J53" s="175">
        <f>ROUND('BASE-C109'!H20*(VLOOKUP(ROUND(((($D$3+$D$4)/2)-$D$5),3),FAKT_C109,2,-1)),0)</f>
        <v>1583</v>
      </c>
      <c r="K53" s="176">
        <f>ROUND('BASE-C109'!I20*(VLOOKUP(ROUND(((($D$3+$D$4)/2)-$D$5),3),FAKT_C109,2,-1)),0)</f>
        <v>1822</v>
      </c>
    </row>
    <row r="54" spans="2:11" ht="12.75" customHeight="1" x14ac:dyDescent="0.2">
      <c r="B54" s="482"/>
      <c r="C54" s="482"/>
      <c r="D54" s="189">
        <f t="shared" ref="D54:K54" si="18">ROUNDDOWN(D53/(1.161*($D$3-$D$4)),0)</f>
        <v>57</v>
      </c>
      <c r="E54" s="177">
        <f t="shared" si="18"/>
        <v>70</v>
      </c>
      <c r="F54" s="177">
        <f t="shared" si="18"/>
        <v>94</v>
      </c>
      <c r="G54" s="177">
        <f t="shared" si="18"/>
        <v>97</v>
      </c>
      <c r="H54" s="177">
        <f t="shared" si="18"/>
        <v>107</v>
      </c>
      <c r="I54" s="177">
        <f t="shared" si="18"/>
        <v>114</v>
      </c>
      <c r="J54" s="177">
        <f t="shared" si="18"/>
        <v>136</v>
      </c>
      <c r="K54" s="178">
        <f t="shared" si="18"/>
        <v>156</v>
      </c>
    </row>
    <row r="55" spans="2:11" ht="12.75" customHeight="1" x14ac:dyDescent="0.2">
      <c r="B55" s="496">
        <v>3950</v>
      </c>
      <c r="C55" s="496"/>
      <c r="D55" s="190">
        <f>ROUND('BASE-C109'!B21*(VLOOKUP(ROUND(((($D$3+$D$4)/2)-$D$5),3),FAKT_C109,2,-1)),0)</f>
        <v>708</v>
      </c>
      <c r="E55" s="179">
        <f>ROUND('BASE-C109'!C21*(VLOOKUP(ROUND(((($D$3+$D$4)/2)-$D$5),3),FAKT_C109,2,-1)),0)</f>
        <v>868</v>
      </c>
      <c r="F55" s="179">
        <f>ROUND('BASE-C109'!D21*(VLOOKUP(ROUND(((($D$3+$D$4)/2)-$D$5),3),FAKT_C109,2,-1)),0)</f>
        <v>1161</v>
      </c>
      <c r="G55" s="179">
        <f>ROUND('BASE-C109'!E21*(VLOOKUP(ROUND(((($D$3+$D$4)/2)-$D$5),3),FAKT_C109,2,-1)),0)</f>
        <v>1194</v>
      </c>
      <c r="H55" s="179">
        <f>ROUND('BASE-C109'!F21*(VLOOKUP(ROUND(((($D$3+$D$4)/2)-$D$5),3),FAKT_C109,2,-1)),0)</f>
        <v>1324</v>
      </c>
      <c r="I55" s="179">
        <f>ROUND('BASE-C109'!G21*(VLOOKUP(ROUND(((($D$3+$D$4)/2)-$D$5),3),FAKT_C109,2,-1)),0)</f>
        <v>1406</v>
      </c>
      <c r="J55" s="179">
        <f>ROUND('BASE-C109'!H21*(VLOOKUP(ROUND(((($D$3+$D$4)/2)-$D$5),3),FAKT_C109,2,-1)),0)</f>
        <v>1676</v>
      </c>
      <c r="K55" s="180">
        <f>ROUND('BASE-C109'!I21*(VLOOKUP(ROUND(((($D$3+$D$4)/2)-$D$5),3),FAKT_C109,2,-1)),0)</f>
        <v>1929</v>
      </c>
    </row>
    <row r="56" spans="2:11" ht="12.75" customHeight="1" x14ac:dyDescent="0.2">
      <c r="B56" s="496"/>
      <c r="C56" s="496"/>
      <c r="D56" s="191">
        <f t="shared" ref="D56:K56" si="19">ROUNDDOWN(D55/(1.161*($D$3-$D$4)),0)</f>
        <v>60</v>
      </c>
      <c r="E56" s="181">
        <f t="shared" si="19"/>
        <v>74</v>
      </c>
      <c r="F56" s="181">
        <f t="shared" si="19"/>
        <v>100</v>
      </c>
      <c r="G56" s="181">
        <f t="shared" si="19"/>
        <v>102</v>
      </c>
      <c r="H56" s="181">
        <f t="shared" si="19"/>
        <v>114</v>
      </c>
      <c r="I56" s="181">
        <f t="shared" si="19"/>
        <v>121</v>
      </c>
      <c r="J56" s="181">
        <f t="shared" si="19"/>
        <v>144</v>
      </c>
      <c r="K56" s="182">
        <f t="shared" si="19"/>
        <v>166</v>
      </c>
    </row>
    <row r="57" spans="2:11" ht="10.15" customHeight="1" x14ac:dyDescent="0.2">
      <c r="B57" s="148"/>
      <c r="C57" s="148"/>
      <c r="K57" s="140"/>
    </row>
    <row r="58" spans="2:11" x14ac:dyDescent="0.2">
      <c r="B58" s="141" t="str">
        <f>VLOOKUP(36,TXT,$F$3,0)</f>
        <v>Angabe in Watt  pro Bodenkonvektor-Länge L [mm]</v>
      </c>
      <c r="K58" s="121" t="str">
        <f>VLOOKUP(16,TXT,$F$3,0)</f>
        <v>Wärmeleistungen in Anlehnung an EN 442-2</v>
      </c>
    </row>
    <row r="59" spans="2:11" x14ac:dyDescent="0.2">
      <c r="B59" s="141" t="str">
        <f>VLOOKUP(90,TXT,$F$3,0)</f>
        <v>Leistungsdaten mit Abdeckung, Rollrost Typ 941-17-B (f.Q. 70%)</v>
      </c>
      <c r="K59" s="121"/>
    </row>
    <row r="60" spans="2:11" x14ac:dyDescent="0.2">
      <c r="B60" s="141" t="str">
        <f>VLOOKUP(29,TXT,$F$3,0)</f>
        <v>Minimale Wassermassenströme von ca. 20 kg/h sollen eingehalten werden</v>
      </c>
      <c r="K60" s="122" t="s">
        <v>1050</v>
      </c>
    </row>
    <row r="61" spans="2:11" x14ac:dyDescent="0.2">
      <c r="B61" s="183"/>
      <c r="C61" s="120"/>
      <c r="F61" s="120"/>
    </row>
    <row r="62" spans="2:11" hidden="1" x14ac:dyDescent="0.2">
      <c r="B62" s="183"/>
      <c r="C62" s="120"/>
      <c r="F62" s="120"/>
    </row>
    <row r="63" spans="2:11" hidden="1" x14ac:dyDescent="0.2">
      <c r="B63" s="183"/>
      <c r="C63" s="120"/>
      <c r="F63" s="120"/>
    </row>
  </sheetData>
  <sheetProtection algorithmName="SHA-512" hashValue="EwxDPRbYbxJGdNId4GDQ1uz5hcw9uTXrM9RRPZFcPJtaV+1KceTePymhe/XV7xtxSTdhx5El9X0P9PL1mmfzVA==" saltValue="8e18dcT1xGBAke25VPK58g==" spinCount="100000" sheet="1" objects="1" scenarios="1" selectLockedCells="1"/>
  <protectedRanges>
    <protectedRange sqref="F4:F5" name="Bereich1_1_1"/>
  </protectedRanges>
  <mergeCells count="38">
    <mergeCell ref="H16:K16"/>
    <mergeCell ref="B10:D10"/>
    <mergeCell ref="E10:G10"/>
    <mergeCell ref="H10:I10"/>
    <mergeCell ref="J10:K10"/>
    <mergeCell ref="B12:C12"/>
    <mergeCell ref="B13:C13"/>
    <mergeCell ref="B14:C14"/>
    <mergeCell ref="B16:C16"/>
    <mergeCell ref="D16:G16"/>
    <mergeCell ref="B39:C40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53:C54"/>
    <mergeCell ref="B55:C56"/>
    <mergeCell ref="B41:C42"/>
    <mergeCell ref="B43:C44"/>
    <mergeCell ref="B45:C46"/>
    <mergeCell ref="B47:C48"/>
    <mergeCell ref="B49:C50"/>
    <mergeCell ref="B51:C52"/>
    <mergeCell ref="F3:F5"/>
    <mergeCell ref="D2:E2"/>
    <mergeCell ref="B3:C3"/>
    <mergeCell ref="D3:E3"/>
    <mergeCell ref="B4:C4"/>
    <mergeCell ref="D4:E4"/>
    <mergeCell ref="B5:C5"/>
    <mergeCell ref="D5:E5"/>
  </mergeCells>
  <conditionalFormatting sqref="D3:D5">
    <cfRule type="expression" dxfId="78" priority="3">
      <formula>$I$4&lt;&gt;""</formula>
    </cfRule>
    <cfRule type="expression" dxfId="77" priority="4">
      <formula>$K$3&lt;&gt;""</formula>
    </cfRule>
  </conditionalFormatting>
  <conditionalFormatting sqref="D3:E5">
    <cfRule type="expression" dxfId="76" priority="1">
      <formula>$H$4&lt;&gt;""</formula>
    </cfRule>
  </conditionalFormatting>
  <conditionalFormatting sqref="D17:K17">
    <cfRule type="expression" dxfId="75" priority="82" stopIfTrue="1">
      <formula>D18&lt;20</formula>
    </cfRule>
  </conditionalFormatting>
  <conditionalFormatting sqref="D19:K19">
    <cfRule type="expression" dxfId="74" priority="81" stopIfTrue="1">
      <formula>D20&lt;20</formula>
    </cfRule>
  </conditionalFormatting>
  <conditionalFormatting sqref="D21:K21">
    <cfRule type="expression" dxfId="73" priority="61" stopIfTrue="1">
      <formula>D22&lt;20</formula>
    </cfRule>
  </conditionalFormatting>
  <conditionalFormatting sqref="D23:K23">
    <cfRule type="expression" dxfId="72" priority="79" stopIfTrue="1">
      <formula>D24&lt;20</formula>
    </cfRule>
  </conditionalFormatting>
  <conditionalFormatting sqref="D25:K25">
    <cfRule type="expression" dxfId="71" priority="59" stopIfTrue="1">
      <formula>D26&lt;20</formula>
    </cfRule>
  </conditionalFormatting>
  <conditionalFormatting sqref="D27:K27">
    <cfRule type="expression" dxfId="70" priority="77" stopIfTrue="1">
      <formula>D28&lt;20</formula>
    </cfRule>
  </conditionalFormatting>
  <conditionalFormatting sqref="D29:K29">
    <cfRule type="expression" dxfId="69" priority="57" stopIfTrue="1">
      <formula>D30&lt;20</formula>
    </cfRule>
  </conditionalFormatting>
  <conditionalFormatting sqref="D31:K31">
    <cfRule type="expression" dxfId="68" priority="75" stopIfTrue="1">
      <formula>D32&lt;20</formula>
    </cfRule>
  </conditionalFormatting>
  <conditionalFormatting sqref="D33:K33">
    <cfRule type="expression" dxfId="67" priority="55" stopIfTrue="1">
      <formula>D34&lt;20</formula>
    </cfRule>
  </conditionalFormatting>
  <conditionalFormatting sqref="D35:K35">
    <cfRule type="expression" dxfId="66" priority="73" stopIfTrue="1">
      <formula>D36&lt;20</formula>
    </cfRule>
  </conditionalFormatting>
  <conditionalFormatting sqref="D37:K37">
    <cfRule type="expression" dxfId="65" priority="53" stopIfTrue="1">
      <formula>D38&lt;20</formula>
    </cfRule>
  </conditionalFormatting>
  <conditionalFormatting sqref="D39:K39">
    <cfRule type="expression" dxfId="64" priority="71" stopIfTrue="1">
      <formula>D40&lt;20</formula>
    </cfRule>
  </conditionalFormatting>
  <conditionalFormatting sqref="D41:K41">
    <cfRule type="expression" dxfId="63" priority="51" stopIfTrue="1">
      <formula>D42&lt;20</formula>
    </cfRule>
  </conditionalFormatting>
  <conditionalFormatting sqref="D43:K43">
    <cfRule type="expression" dxfId="62" priority="69" stopIfTrue="1">
      <formula>D44&lt;20</formula>
    </cfRule>
  </conditionalFormatting>
  <conditionalFormatting sqref="D45:K45">
    <cfRule type="expression" dxfId="61" priority="49" stopIfTrue="1">
      <formula>D46&lt;20</formula>
    </cfRule>
  </conditionalFormatting>
  <conditionalFormatting sqref="D47:K47">
    <cfRule type="expression" dxfId="60" priority="67" stopIfTrue="1">
      <formula>D48&lt;20</formula>
    </cfRule>
  </conditionalFormatting>
  <conditionalFormatting sqref="D49:K49">
    <cfRule type="expression" dxfId="59" priority="47" stopIfTrue="1">
      <formula>D50&lt;20</formula>
    </cfRule>
  </conditionalFormatting>
  <conditionalFormatting sqref="D51:K51">
    <cfRule type="expression" dxfId="58" priority="65" stopIfTrue="1">
      <formula>D52&lt;20</formula>
    </cfRule>
  </conditionalFormatting>
  <conditionalFormatting sqref="D53:K53">
    <cfRule type="expression" dxfId="57" priority="45" stopIfTrue="1">
      <formula>D54&lt;20</formula>
    </cfRule>
  </conditionalFormatting>
  <conditionalFormatting sqref="D55:K55">
    <cfRule type="expression" dxfId="56" priority="63" stopIfTrue="1">
      <formula>D56&lt;20</formula>
    </cfRule>
  </conditionalFormatting>
  <dataValidations count="4">
    <dataValidation type="whole" allowBlank="1" showInputMessage="1" showErrorMessage="1" sqref="D3:E3" xr:uid="{515C6621-38C0-424F-A7E3-B6E37056B988}">
      <formula1>30</formula1>
      <formula2>90</formula2>
    </dataValidation>
    <dataValidation type="whole" allowBlank="1" showInputMessage="1" showErrorMessage="1" sqref="D4:E4" xr:uid="{78EB66F0-BDD5-4FDD-814B-E124CFBF8520}">
      <formula1>25</formula1>
      <formula2>85</formula2>
    </dataValidation>
    <dataValidation type="whole" allowBlank="1" showInputMessage="1" showErrorMessage="1" sqref="D5:E5" xr:uid="{45AFBDE2-43BA-4F7B-9284-7B22C8DF57B7}">
      <formula1>15</formula1>
      <formula2>29</formula2>
    </dataValidation>
    <dataValidation type="whole" allowBlank="1" showInputMessage="1" showErrorMessage="1" sqref="F3:F5" xr:uid="{5D0B4FA3-4972-4F38-B8FA-3CDD0391BEA9}">
      <formula1>2</formula1>
      <formula2>3</formula2>
    </dataValidation>
  </dataValidations>
  <pageMargins left="0.59055118110236227" right="0.39370078740157483" top="0.78740157480314965" bottom="0.78740157480314965" header="0.11811023622047245" footer="0.51181102362204722"/>
  <pageSetup paperSize="9" orientation="portrait" r:id="rId1"/>
  <headerFooter alignWithMargins="0">
    <oddHeader xml:space="preserve">&amp;C&amp;11&amp;G
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4" id="{C72F8F91-F3B7-46DC-AEDA-C2B1E48DFF4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D18</xm:sqref>
        </x14:conditionalFormatting>
        <x14:conditionalFormatting xmlns:xm="http://schemas.microsoft.com/office/excel/2006/main">
          <x14:cfRule type="iconSet" priority="42" id="{142A5599-C0B8-4456-9523-7ED6658BF3B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D20</xm:sqref>
        </x14:conditionalFormatting>
        <x14:conditionalFormatting xmlns:xm="http://schemas.microsoft.com/office/excel/2006/main">
          <x14:cfRule type="iconSet" priority="22" id="{52B6ACB6-384C-4BA4-BF99-F12575D1DF2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D22</xm:sqref>
        </x14:conditionalFormatting>
        <x14:conditionalFormatting xmlns:xm="http://schemas.microsoft.com/office/excel/2006/main">
          <x14:cfRule type="iconSet" priority="40" id="{90C3DFA4-6EE5-4DC4-93EA-AB0FBB718D7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D24</xm:sqref>
        </x14:conditionalFormatting>
        <x14:conditionalFormatting xmlns:xm="http://schemas.microsoft.com/office/excel/2006/main">
          <x14:cfRule type="iconSet" priority="20" id="{E1CFE694-3C5D-47D1-9DF8-12AB77E17EC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D26</xm:sqref>
        </x14:conditionalFormatting>
        <x14:conditionalFormatting xmlns:xm="http://schemas.microsoft.com/office/excel/2006/main">
          <x14:cfRule type="iconSet" priority="38" id="{0D309F13-E188-4B75-98F7-E00D3A30A45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D28</xm:sqref>
        </x14:conditionalFormatting>
        <x14:conditionalFormatting xmlns:xm="http://schemas.microsoft.com/office/excel/2006/main">
          <x14:cfRule type="iconSet" priority="18" id="{6128DAAA-CB17-468F-B55E-7061AADBFAB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D30</xm:sqref>
        </x14:conditionalFormatting>
        <x14:conditionalFormatting xmlns:xm="http://schemas.microsoft.com/office/excel/2006/main">
          <x14:cfRule type="iconSet" priority="36" id="{402B6777-B6D9-4EF7-BCBE-5085CB9D3F4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D32</xm:sqref>
        </x14:conditionalFormatting>
        <x14:conditionalFormatting xmlns:xm="http://schemas.microsoft.com/office/excel/2006/main">
          <x14:cfRule type="iconSet" priority="16" id="{9FF4F0E7-4F95-411A-BE1E-1960256B63C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D34</xm:sqref>
        </x14:conditionalFormatting>
        <x14:conditionalFormatting xmlns:xm="http://schemas.microsoft.com/office/excel/2006/main">
          <x14:cfRule type="iconSet" priority="34" id="{6642399C-B69E-497D-89D1-97C57DBA1E3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D36</xm:sqref>
        </x14:conditionalFormatting>
        <x14:conditionalFormatting xmlns:xm="http://schemas.microsoft.com/office/excel/2006/main">
          <x14:cfRule type="iconSet" priority="14" id="{45985C79-8359-4FBB-9903-FE363756910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D38</xm:sqref>
        </x14:conditionalFormatting>
        <x14:conditionalFormatting xmlns:xm="http://schemas.microsoft.com/office/excel/2006/main">
          <x14:cfRule type="iconSet" priority="32" id="{6B50B471-7588-41A8-AF6F-376E7A4668C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D40</xm:sqref>
        </x14:conditionalFormatting>
        <x14:conditionalFormatting xmlns:xm="http://schemas.microsoft.com/office/excel/2006/main">
          <x14:cfRule type="iconSet" priority="12" id="{DA4B7681-C403-4E09-82D7-F7AEC9094DB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D42</xm:sqref>
        </x14:conditionalFormatting>
        <x14:conditionalFormatting xmlns:xm="http://schemas.microsoft.com/office/excel/2006/main">
          <x14:cfRule type="iconSet" priority="30" id="{2951819D-2977-4FB3-A593-C45946BB309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D44</xm:sqref>
        </x14:conditionalFormatting>
        <x14:conditionalFormatting xmlns:xm="http://schemas.microsoft.com/office/excel/2006/main">
          <x14:cfRule type="iconSet" priority="10" id="{DB9E49D5-A602-4D76-98E3-365A5AF6BA8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D46</xm:sqref>
        </x14:conditionalFormatting>
        <x14:conditionalFormatting xmlns:xm="http://schemas.microsoft.com/office/excel/2006/main">
          <x14:cfRule type="iconSet" priority="28" id="{795988E9-9003-453A-9B3B-B37B2D92DA1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D48</xm:sqref>
        </x14:conditionalFormatting>
        <x14:conditionalFormatting xmlns:xm="http://schemas.microsoft.com/office/excel/2006/main">
          <x14:cfRule type="iconSet" priority="8" id="{B9F82A74-2D0B-4927-AC3E-50FC0C18516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D50</xm:sqref>
        </x14:conditionalFormatting>
        <x14:conditionalFormatting xmlns:xm="http://schemas.microsoft.com/office/excel/2006/main">
          <x14:cfRule type="iconSet" priority="26" id="{57B1B58F-09C4-4886-B9A5-230E9885022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D52</xm:sqref>
        </x14:conditionalFormatting>
        <x14:conditionalFormatting xmlns:xm="http://schemas.microsoft.com/office/excel/2006/main">
          <x14:cfRule type="iconSet" priority="6" id="{608BEF43-DD3B-4F5F-8AE1-5582099C0A3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D54</xm:sqref>
        </x14:conditionalFormatting>
        <x14:conditionalFormatting xmlns:xm="http://schemas.microsoft.com/office/excel/2006/main">
          <x14:cfRule type="iconSet" priority="24" id="{591562D8-501F-445F-B00C-39E76703A7C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D56</xm:sqref>
        </x14:conditionalFormatting>
        <x14:conditionalFormatting xmlns:xm="http://schemas.microsoft.com/office/excel/2006/main">
          <x14:cfRule type="iconSet" priority="43" id="{6346623C-711A-4246-894C-EA7F5410362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E18:K18</xm:sqref>
        </x14:conditionalFormatting>
        <x14:conditionalFormatting xmlns:xm="http://schemas.microsoft.com/office/excel/2006/main">
          <x14:cfRule type="iconSet" priority="41" id="{E40B2CCC-4183-4344-B55D-76E8194AD7C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E20:K20</xm:sqref>
        </x14:conditionalFormatting>
        <x14:conditionalFormatting xmlns:xm="http://schemas.microsoft.com/office/excel/2006/main">
          <x14:cfRule type="iconSet" priority="21" id="{97668A82-16DC-4C93-845E-A2FF2D96A68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E22:K22</xm:sqref>
        </x14:conditionalFormatting>
        <x14:conditionalFormatting xmlns:xm="http://schemas.microsoft.com/office/excel/2006/main">
          <x14:cfRule type="iconSet" priority="39" id="{AA4FB48E-107A-4D40-A1E7-E935B1A9CA9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E24:K24</xm:sqref>
        </x14:conditionalFormatting>
        <x14:conditionalFormatting xmlns:xm="http://schemas.microsoft.com/office/excel/2006/main">
          <x14:cfRule type="iconSet" priority="19" id="{8910C87B-EF1E-4453-A08F-FAE37E7FFBC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E26:K26</xm:sqref>
        </x14:conditionalFormatting>
        <x14:conditionalFormatting xmlns:xm="http://schemas.microsoft.com/office/excel/2006/main">
          <x14:cfRule type="iconSet" priority="37" id="{F60B4B3F-5BE8-43AB-BB6F-48BDE99B504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E28:K28</xm:sqref>
        </x14:conditionalFormatting>
        <x14:conditionalFormatting xmlns:xm="http://schemas.microsoft.com/office/excel/2006/main">
          <x14:cfRule type="iconSet" priority="17" id="{0C295C44-3582-4058-AF2D-D1EFF998085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E30:K30</xm:sqref>
        </x14:conditionalFormatting>
        <x14:conditionalFormatting xmlns:xm="http://schemas.microsoft.com/office/excel/2006/main">
          <x14:cfRule type="iconSet" priority="35" id="{DAD18E1E-078C-4C26-98AF-C91FC45CA06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E32:K32</xm:sqref>
        </x14:conditionalFormatting>
        <x14:conditionalFormatting xmlns:xm="http://schemas.microsoft.com/office/excel/2006/main">
          <x14:cfRule type="iconSet" priority="15" id="{595B636D-AD35-4046-9E70-4D56E24D161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E34:K34</xm:sqref>
        </x14:conditionalFormatting>
        <x14:conditionalFormatting xmlns:xm="http://schemas.microsoft.com/office/excel/2006/main">
          <x14:cfRule type="iconSet" priority="33" id="{9EE884F8-391E-4531-9C5B-F9FA3E29045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E36:K36</xm:sqref>
        </x14:conditionalFormatting>
        <x14:conditionalFormatting xmlns:xm="http://schemas.microsoft.com/office/excel/2006/main">
          <x14:cfRule type="iconSet" priority="13" id="{ADA60FA3-8A06-4A4C-9419-B251CC13FCD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E38:K38</xm:sqref>
        </x14:conditionalFormatting>
        <x14:conditionalFormatting xmlns:xm="http://schemas.microsoft.com/office/excel/2006/main">
          <x14:cfRule type="iconSet" priority="31" id="{BA3E41B8-5CBC-4573-89C0-F766C6EDEB3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E40:K40</xm:sqref>
        </x14:conditionalFormatting>
        <x14:conditionalFormatting xmlns:xm="http://schemas.microsoft.com/office/excel/2006/main">
          <x14:cfRule type="iconSet" priority="11" id="{81A942D1-BA11-4BF1-BEE4-BEF67E9690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E42:K42</xm:sqref>
        </x14:conditionalFormatting>
        <x14:conditionalFormatting xmlns:xm="http://schemas.microsoft.com/office/excel/2006/main">
          <x14:cfRule type="iconSet" priority="29" id="{CD9E5B06-7731-4F46-B198-D35F2CAD5C6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E44:K44</xm:sqref>
        </x14:conditionalFormatting>
        <x14:conditionalFormatting xmlns:xm="http://schemas.microsoft.com/office/excel/2006/main">
          <x14:cfRule type="iconSet" priority="9" id="{56CC188D-BF7D-4AF4-A39D-AE195494DB1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E46:K46</xm:sqref>
        </x14:conditionalFormatting>
        <x14:conditionalFormatting xmlns:xm="http://schemas.microsoft.com/office/excel/2006/main">
          <x14:cfRule type="iconSet" priority="27" id="{E840E62B-8886-493D-A482-D0077E5D47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E48:K48</xm:sqref>
        </x14:conditionalFormatting>
        <x14:conditionalFormatting xmlns:xm="http://schemas.microsoft.com/office/excel/2006/main">
          <x14:cfRule type="iconSet" priority="7" id="{5BAC5FAC-14CF-417B-B821-0FE7B33581C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E50:K50</xm:sqref>
        </x14:conditionalFormatting>
        <x14:conditionalFormatting xmlns:xm="http://schemas.microsoft.com/office/excel/2006/main">
          <x14:cfRule type="iconSet" priority="25" id="{5211A86E-D31F-442F-A384-68F73210CCE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E52:K52</xm:sqref>
        </x14:conditionalFormatting>
        <x14:conditionalFormatting xmlns:xm="http://schemas.microsoft.com/office/excel/2006/main">
          <x14:cfRule type="iconSet" priority="5" id="{08AB7F71-C4E4-4DF0-9F3B-A48D2E53327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E54:K54</xm:sqref>
        </x14:conditionalFormatting>
        <x14:conditionalFormatting xmlns:xm="http://schemas.microsoft.com/office/excel/2006/main">
          <x14:cfRule type="iconSet" priority="23" id="{8F81EF0B-C92E-44FA-91AD-941FF995200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E56:K56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C7C5-070B-4D0F-A995-F238689B2B56}">
  <dimension ref="A1:L63"/>
  <sheetViews>
    <sheetView workbookViewId="0">
      <selection activeCell="G3" sqref="G3:H3"/>
    </sheetView>
  </sheetViews>
  <sheetFormatPr baseColWidth="10" defaultColWidth="0" defaultRowHeight="12.75" zeroHeight="1" x14ac:dyDescent="0.2"/>
  <cols>
    <col min="1" max="1" width="2.7109375" style="101" customWidth="1"/>
    <col min="2" max="2" width="3.5703125" style="101" customWidth="1"/>
    <col min="3" max="3" width="6.7109375" style="140" customWidth="1"/>
    <col min="4" max="10" width="10.28515625" style="140" customWidth="1"/>
    <col min="11" max="11" width="10.28515625" style="101" customWidth="1"/>
    <col min="12" max="12" width="2.7109375" style="101" customWidth="1"/>
    <col min="13" max="16384" width="11.42578125" style="101" hidden="1"/>
  </cols>
  <sheetData>
    <row r="1" spans="2:12" x14ac:dyDescent="0.2"/>
    <row r="2" spans="2:12" ht="15" x14ac:dyDescent="0.25">
      <c r="B2"/>
      <c r="C2" s="101"/>
      <c r="D2" s="494" t="s">
        <v>936</v>
      </c>
      <c r="E2" s="494"/>
      <c r="F2" s="283" t="s">
        <v>938</v>
      </c>
    </row>
    <row r="3" spans="2:12" ht="23.25" x14ac:dyDescent="0.35">
      <c r="B3" s="453" t="s">
        <v>933</v>
      </c>
      <c r="C3" s="453"/>
      <c r="D3" s="495">
        <v>75</v>
      </c>
      <c r="E3" s="495"/>
      <c r="F3" s="432">
        <v>2</v>
      </c>
    </row>
    <row r="4" spans="2:12" ht="23.25" x14ac:dyDescent="0.35">
      <c r="B4" s="453" t="s">
        <v>934</v>
      </c>
      <c r="C4" s="453"/>
      <c r="D4" s="495">
        <v>65</v>
      </c>
      <c r="E4" s="495"/>
      <c r="F4" s="432"/>
      <c r="H4" s="287" t="str">
        <f>IF(OR((D3-D4)&lt;3,(D4-D5)&lt;3,(D3-D4)&gt;25,D5&lt;15,ISERROR(D17)),"Bitte überprüfen Sie ihre Eingaben!","")</f>
        <v/>
      </c>
    </row>
    <row r="5" spans="2:12" ht="23.25" x14ac:dyDescent="0.35">
      <c r="B5" s="453" t="s">
        <v>935</v>
      </c>
      <c r="C5" s="453"/>
      <c r="D5" s="495">
        <v>20</v>
      </c>
      <c r="E5" s="495"/>
      <c r="F5" s="432"/>
    </row>
    <row r="6" spans="2:12" x14ac:dyDescent="0.2"/>
    <row r="7" spans="2:12" ht="25.5" customHeight="1" x14ac:dyDescent="0.4">
      <c r="B7" s="184" t="str">
        <f>VLOOKUP(49,TXT,$F$3,0)</f>
        <v>Bodenkonvektor Modell LIB-140</v>
      </c>
      <c r="C7" s="185"/>
      <c r="D7" s="185"/>
      <c r="E7" s="185"/>
      <c r="F7" s="185"/>
      <c r="G7" s="185"/>
      <c r="H7" s="185"/>
      <c r="I7" s="185"/>
      <c r="J7" s="185"/>
      <c r="K7" s="185"/>
      <c r="L7" s="170"/>
    </row>
    <row r="8" spans="2:12" ht="17.25" customHeight="1" x14ac:dyDescent="0.4">
      <c r="B8" s="186" t="str">
        <f>VLOOKUP(47,TXT,$F$3,0)</f>
        <v>für freie Konvektion</v>
      </c>
      <c r="C8" s="186"/>
      <c r="D8" s="186"/>
      <c r="E8" s="186"/>
      <c r="F8" s="186"/>
      <c r="G8" s="186"/>
      <c r="H8" s="186"/>
      <c r="I8" s="186"/>
      <c r="J8" s="186"/>
      <c r="K8" s="186"/>
      <c r="L8" s="170"/>
    </row>
    <row r="9" spans="2:12" x14ac:dyDescent="0.2"/>
    <row r="10" spans="2:12" ht="23.25" x14ac:dyDescent="0.2">
      <c r="B10" s="499" t="str">
        <f>VLOOKUP(10,TXT,$F$3,0)</f>
        <v>Heizmedium</v>
      </c>
      <c r="C10" s="499"/>
      <c r="D10" s="499"/>
      <c r="E10" s="500" t="str">
        <f>CONCATENATE(D3,"° / ",D4," °C")</f>
        <v>75° / 65 °C</v>
      </c>
      <c r="F10" s="500"/>
      <c r="G10" s="500"/>
      <c r="H10" s="501">
        <f>SUM(D5)</f>
        <v>20</v>
      </c>
      <c r="I10" s="501"/>
      <c r="J10" s="502"/>
      <c r="K10" s="502"/>
    </row>
    <row r="11" spans="2:12" x14ac:dyDescent="0.2"/>
    <row r="12" spans="2:12" ht="17.25" customHeight="1" x14ac:dyDescent="0.25">
      <c r="B12" s="503" t="str">
        <f>VLOOKUP(9,TXT,$F$3,0)</f>
        <v>Modell</v>
      </c>
      <c r="C12" s="503"/>
      <c r="D12" s="173" t="s">
        <v>1397</v>
      </c>
      <c r="E12" s="173" t="s">
        <v>1387</v>
      </c>
      <c r="F12" s="173" t="s">
        <v>1388</v>
      </c>
      <c r="G12" s="173" t="s">
        <v>1389</v>
      </c>
      <c r="H12" s="173" t="s">
        <v>1390</v>
      </c>
      <c r="I12" s="173" t="s">
        <v>1391</v>
      </c>
      <c r="J12" s="173" t="s">
        <v>1392</v>
      </c>
      <c r="K12" s="173" t="s">
        <v>1393</v>
      </c>
    </row>
    <row r="13" spans="2:12" x14ac:dyDescent="0.2">
      <c r="B13" s="504" t="s">
        <v>1351</v>
      </c>
      <c r="C13" s="504"/>
      <c r="D13" s="187">
        <v>144</v>
      </c>
      <c r="E13" s="187">
        <v>176</v>
      </c>
      <c r="F13" s="187">
        <v>224</v>
      </c>
      <c r="G13" s="187">
        <v>240</v>
      </c>
      <c r="H13" s="187">
        <v>272</v>
      </c>
      <c r="I13" s="187">
        <v>304</v>
      </c>
      <c r="J13" s="187">
        <v>336</v>
      </c>
      <c r="K13" s="187">
        <v>368</v>
      </c>
    </row>
    <row r="14" spans="2:12" x14ac:dyDescent="0.2">
      <c r="B14" s="504" t="s">
        <v>1352</v>
      </c>
      <c r="C14" s="504"/>
      <c r="D14" s="187">
        <v>140</v>
      </c>
      <c r="E14" s="187">
        <v>140</v>
      </c>
      <c r="F14" s="187">
        <v>140</v>
      </c>
      <c r="G14" s="187">
        <v>140</v>
      </c>
      <c r="H14" s="187">
        <v>140</v>
      </c>
      <c r="I14" s="187">
        <v>140</v>
      </c>
      <c r="J14" s="187">
        <v>140</v>
      </c>
      <c r="K14" s="187">
        <v>140</v>
      </c>
    </row>
    <row r="15" spans="2:12" x14ac:dyDescent="0.2">
      <c r="B15" s="174"/>
      <c r="C15" s="174"/>
      <c r="D15" s="187" t="s">
        <v>1353</v>
      </c>
      <c r="E15" s="187" t="s">
        <v>1394</v>
      </c>
      <c r="F15" s="187" t="s">
        <v>1395</v>
      </c>
      <c r="G15" s="187" t="s">
        <v>1395</v>
      </c>
      <c r="H15" s="187" t="s">
        <v>1395</v>
      </c>
      <c r="I15" s="187" t="s">
        <v>1395</v>
      </c>
      <c r="J15" s="187" t="s">
        <v>1396</v>
      </c>
      <c r="K15" s="187" t="s">
        <v>1396</v>
      </c>
    </row>
    <row r="16" spans="2:12" ht="18.75" customHeight="1" x14ac:dyDescent="0.2">
      <c r="B16" s="504" t="s">
        <v>1356</v>
      </c>
      <c r="C16" s="504"/>
      <c r="D16" s="505" t="str">
        <f>VLOOKUP(13,TXT,$F$3,0)</f>
        <v>Leistungen [W]</v>
      </c>
      <c r="E16" s="497"/>
      <c r="F16" s="497"/>
      <c r="G16" s="497"/>
      <c r="H16" s="497" t="str">
        <f>VLOOKUP(45,TXT,$F$3,0)</f>
        <v>Wassermassenstrom [kg/h] *</v>
      </c>
      <c r="I16" s="497"/>
      <c r="J16" s="497"/>
      <c r="K16" s="498"/>
    </row>
    <row r="17" spans="2:11" ht="12.75" customHeight="1" x14ac:dyDescent="0.2">
      <c r="B17" s="484">
        <v>750</v>
      </c>
      <c r="C17" s="484"/>
      <c r="D17" s="188">
        <f>ROUND('BASE-C140'!B2*(VLOOKUP(ROUND(((($D$3+$D$4)/2)-$D$5),3),FAKT_C109,2,-1)),0)</f>
        <v>84</v>
      </c>
      <c r="E17" s="175">
        <f>ROUND('BASE-C140'!C2*(VLOOKUP(ROUND(((($D$3+$D$4)/2)-$D$5),3),FAKT_C109,2,-1)),0)</f>
        <v>104</v>
      </c>
      <c r="F17" s="175">
        <f>ROUND('BASE-C140'!D2*(VLOOKUP(ROUND(((($D$3+$D$4)/2)-$D$5),3),FAKT_C109,2,-1)),0)</f>
        <v>140</v>
      </c>
      <c r="G17" s="175">
        <f>ROUND('BASE-C140'!E2*(VLOOKUP(ROUND(((($D$3+$D$4)/2)-$D$5),3),FAKT_C109,2,-1)),0)</f>
        <v>155</v>
      </c>
      <c r="H17" s="175">
        <f>ROUND('BASE-C140'!F2*(VLOOKUP(ROUND(((($D$3+$D$4)/2)-$D$5),3),FAKT_C109,2,-1)),0)</f>
        <v>175</v>
      </c>
      <c r="I17" s="175">
        <f>ROUND('BASE-C140'!G2*(VLOOKUP(ROUND(((($D$3+$D$4)/2)-$D$5),3),FAKT_C109,2,-1)),0)</f>
        <v>183</v>
      </c>
      <c r="J17" s="175">
        <f>ROUND('BASE-C140'!H2*(VLOOKUP(ROUND(((($D$3+$D$4)/2)-$D$5),3),FAKT_C109,2,-1)),0)</f>
        <v>217</v>
      </c>
      <c r="K17" s="176">
        <f>ROUND('BASE-C140'!I2*(VLOOKUP(ROUND(((($D$3+$D$4)/2)-$D$5),3),FAKT_C109,2,-1)),0)</f>
        <v>245</v>
      </c>
    </row>
    <row r="18" spans="2:11" ht="12.75" customHeight="1" x14ac:dyDescent="0.2">
      <c r="B18" s="484"/>
      <c r="C18" s="484"/>
      <c r="D18" s="189">
        <f t="shared" ref="D18:K18" si="0">ROUNDDOWN(D17/(1.161*($D$3-$D$4)),0)</f>
        <v>7</v>
      </c>
      <c r="E18" s="177">
        <f t="shared" si="0"/>
        <v>8</v>
      </c>
      <c r="F18" s="177">
        <f t="shared" si="0"/>
        <v>12</v>
      </c>
      <c r="G18" s="177">
        <f t="shared" si="0"/>
        <v>13</v>
      </c>
      <c r="H18" s="177">
        <f t="shared" si="0"/>
        <v>15</v>
      </c>
      <c r="I18" s="177">
        <f t="shared" si="0"/>
        <v>15</v>
      </c>
      <c r="J18" s="177">
        <f t="shared" si="0"/>
        <v>18</v>
      </c>
      <c r="K18" s="178">
        <f t="shared" si="0"/>
        <v>21</v>
      </c>
    </row>
    <row r="19" spans="2:11" ht="12.75" customHeight="1" x14ac:dyDescent="0.2">
      <c r="B19" s="496">
        <v>850</v>
      </c>
      <c r="C19" s="496">
        <v>1000</v>
      </c>
      <c r="D19" s="190">
        <f>ROUND('BASE-C140'!B3*(VLOOKUP(ROUND(((($D$3+$D$4)/2)-$D$5),3),FAKT_C109,2,-1)),0)</f>
        <v>106</v>
      </c>
      <c r="E19" s="179">
        <f>ROUND('BASE-C140'!C3*(VLOOKUP(ROUND(((($D$3+$D$4)/2)-$D$5),3),FAKT_C109,2,-1)),0)</f>
        <v>130</v>
      </c>
      <c r="F19" s="179">
        <f>ROUND('BASE-C140'!D3*(VLOOKUP(ROUND(((($D$3+$D$4)/2)-$D$5),3),FAKT_C109,2,-1)),0)</f>
        <v>176</v>
      </c>
      <c r="G19" s="179">
        <f>ROUND('BASE-C140'!E3*(VLOOKUP(ROUND(((($D$3+$D$4)/2)-$D$5),3),FAKT_C109,2,-1)),0)</f>
        <v>195</v>
      </c>
      <c r="H19" s="179">
        <f>ROUND('BASE-C140'!F3*(VLOOKUP(ROUND(((($D$3+$D$4)/2)-$D$5),3),FAKT_C109,2,-1)),0)</f>
        <v>221</v>
      </c>
      <c r="I19" s="179">
        <f>ROUND('BASE-C140'!G3*(VLOOKUP(ROUND(((($D$3+$D$4)/2)-$D$5),3),FAKT_C109,2,-1)),0)</f>
        <v>230</v>
      </c>
      <c r="J19" s="179">
        <f>ROUND('BASE-C140'!H3*(VLOOKUP(ROUND(((($D$3+$D$4)/2)-$D$5),3),FAKT_C109,2,-1)),0)</f>
        <v>272</v>
      </c>
      <c r="K19" s="180">
        <f>ROUND('BASE-C140'!I3*(VLOOKUP(ROUND(((($D$3+$D$4)/2)-$D$5),3),FAKT_C109,2,-1)),0)</f>
        <v>307</v>
      </c>
    </row>
    <row r="20" spans="2:11" ht="12.75" customHeight="1" x14ac:dyDescent="0.2">
      <c r="B20" s="496"/>
      <c r="C20" s="496"/>
      <c r="D20" s="191">
        <f t="shared" ref="D20:K20" si="1">ROUNDDOWN(D19/(1.161*($D$3-$D$4)),0)</f>
        <v>9</v>
      </c>
      <c r="E20" s="181">
        <f t="shared" si="1"/>
        <v>11</v>
      </c>
      <c r="F20" s="181">
        <f t="shared" si="1"/>
        <v>15</v>
      </c>
      <c r="G20" s="181">
        <f t="shared" si="1"/>
        <v>16</v>
      </c>
      <c r="H20" s="181">
        <f t="shared" si="1"/>
        <v>19</v>
      </c>
      <c r="I20" s="181">
        <f t="shared" si="1"/>
        <v>19</v>
      </c>
      <c r="J20" s="181">
        <f t="shared" si="1"/>
        <v>23</v>
      </c>
      <c r="K20" s="182">
        <f t="shared" si="1"/>
        <v>26</v>
      </c>
    </row>
    <row r="21" spans="2:11" ht="12.75" customHeight="1" x14ac:dyDescent="0.2">
      <c r="B21" s="482">
        <v>950</v>
      </c>
      <c r="C21" s="482"/>
      <c r="D21" s="188">
        <f>ROUND('BASE-C140'!B4*(VLOOKUP(ROUND(((($D$3+$D$4)/2)-$D$5),3),FAKT_C109,2,-1)),0)</f>
        <v>127</v>
      </c>
      <c r="E21" s="175">
        <f>ROUND('BASE-C140'!C4*(VLOOKUP(ROUND(((($D$3+$D$4)/2)-$D$5),3),FAKT_C109,2,-1)),0)</f>
        <v>157</v>
      </c>
      <c r="F21" s="175">
        <f>ROUND('BASE-C140'!D4*(VLOOKUP(ROUND(((($D$3+$D$4)/2)-$D$5),3),FAKT_C109,2,-1)),0)</f>
        <v>212</v>
      </c>
      <c r="G21" s="175">
        <f>ROUND('BASE-C140'!E4*(VLOOKUP(ROUND(((($D$3+$D$4)/2)-$D$5),3),FAKT_C109,2,-1)),0)</f>
        <v>235</v>
      </c>
      <c r="H21" s="175">
        <f>ROUND('BASE-C140'!F4*(VLOOKUP(ROUND(((($D$3+$D$4)/2)-$D$5),3),FAKT_C109,2,-1)),0)</f>
        <v>266</v>
      </c>
      <c r="I21" s="175">
        <f>ROUND('BASE-C140'!G4*(VLOOKUP(ROUND(((($D$3+$D$4)/2)-$D$5),3),FAKT_C109,2,-1)),0)</f>
        <v>277</v>
      </c>
      <c r="J21" s="175">
        <f>ROUND('BASE-C140'!H4*(VLOOKUP(ROUND(((($D$3+$D$4)/2)-$D$5),3),FAKT_C109,2,-1)),0)</f>
        <v>326</v>
      </c>
      <c r="K21" s="176">
        <f>ROUND('BASE-C140'!I4*(VLOOKUP(ROUND(((($D$3+$D$4)/2)-$D$5),3),FAKT_C109,2,-1)),0)</f>
        <v>369</v>
      </c>
    </row>
    <row r="22" spans="2:11" ht="12.75" customHeight="1" x14ac:dyDescent="0.2">
      <c r="B22" s="482"/>
      <c r="C22" s="482"/>
      <c r="D22" s="189">
        <f t="shared" ref="D22:K22" si="2">ROUNDDOWN(D21/(1.161*($D$3-$D$4)),0)</f>
        <v>10</v>
      </c>
      <c r="E22" s="177">
        <f t="shared" si="2"/>
        <v>13</v>
      </c>
      <c r="F22" s="177">
        <f t="shared" si="2"/>
        <v>18</v>
      </c>
      <c r="G22" s="177">
        <f t="shared" si="2"/>
        <v>20</v>
      </c>
      <c r="H22" s="177">
        <f t="shared" si="2"/>
        <v>22</v>
      </c>
      <c r="I22" s="177">
        <f t="shared" si="2"/>
        <v>23</v>
      </c>
      <c r="J22" s="177">
        <f t="shared" si="2"/>
        <v>28</v>
      </c>
      <c r="K22" s="178">
        <f t="shared" si="2"/>
        <v>31</v>
      </c>
    </row>
    <row r="23" spans="2:11" ht="12.75" customHeight="1" x14ac:dyDescent="0.2">
      <c r="B23" s="496">
        <v>1050</v>
      </c>
      <c r="C23" s="496"/>
      <c r="D23" s="190">
        <f>ROUND('BASE-C140'!B5*(VLOOKUP(ROUND(((($D$3+$D$4)/2)-$D$5),3),FAKT_C109,2,-1)),0)</f>
        <v>148</v>
      </c>
      <c r="E23" s="179">
        <f>ROUND('BASE-C140'!C5*(VLOOKUP(ROUND(((($D$3+$D$4)/2)-$D$5),3),FAKT_C109,2,-1)),0)</f>
        <v>183</v>
      </c>
      <c r="F23" s="179">
        <f>ROUND('BASE-C140'!D5*(VLOOKUP(ROUND(((($D$3+$D$4)/2)-$D$5),3),FAKT_C109,2,-1)),0)</f>
        <v>248</v>
      </c>
      <c r="G23" s="179">
        <f>ROUND('BASE-C140'!E5*(VLOOKUP(ROUND(((($D$3+$D$4)/2)-$D$5),3),FAKT_C109,2,-1)),0)</f>
        <v>275</v>
      </c>
      <c r="H23" s="179">
        <f>ROUND('BASE-C140'!F5*(VLOOKUP(ROUND(((($D$3+$D$4)/2)-$D$5),3),FAKT_C109,2,-1)),0)</f>
        <v>311</v>
      </c>
      <c r="I23" s="179">
        <f>ROUND('BASE-C140'!G5*(VLOOKUP(ROUND(((($D$3+$D$4)/2)-$D$5),3),FAKT_C109,2,-1)),0)</f>
        <v>324</v>
      </c>
      <c r="J23" s="179">
        <f>ROUND('BASE-C140'!H5*(VLOOKUP(ROUND(((($D$3+$D$4)/2)-$D$5),3),FAKT_C109,2,-1)),0)</f>
        <v>381</v>
      </c>
      <c r="K23" s="180">
        <f>ROUND('BASE-C140'!I5*(VLOOKUP(ROUND(((($D$3+$D$4)/2)-$D$5),3),FAKT_C109,2,-1)),0)</f>
        <v>431</v>
      </c>
    </row>
    <row r="24" spans="2:11" ht="12.75" customHeight="1" x14ac:dyDescent="0.2">
      <c r="B24" s="496"/>
      <c r="C24" s="496"/>
      <c r="D24" s="191">
        <f t="shared" ref="D24:K24" si="3">ROUNDDOWN(D23/(1.161*($D$3-$D$4)),0)</f>
        <v>12</v>
      </c>
      <c r="E24" s="181">
        <f t="shared" si="3"/>
        <v>15</v>
      </c>
      <c r="F24" s="181">
        <f t="shared" si="3"/>
        <v>21</v>
      </c>
      <c r="G24" s="181">
        <f t="shared" si="3"/>
        <v>23</v>
      </c>
      <c r="H24" s="181">
        <f t="shared" si="3"/>
        <v>26</v>
      </c>
      <c r="I24" s="181">
        <f t="shared" si="3"/>
        <v>27</v>
      </c>
      <c r="J24" s="181">
        <f t="shared" si="3"/>
        <v>32</v>
      </c>
      <c r="K24" s="182">
        <f t="shared" si="3"/>
        <v>37</v>
      </c>
    </row>
    <row r="25" spans="2:11" ht="12.75" customHeight="1" x14ac:dyDescent="0.2">
      <c r="B25" s="482">
        <v>1150</v>
      </c>
      <c r="C25" s="482"/>
      <c r="D25" s="188">
        <f>ROUND('BASE-C140'!B6*(VLOOKUP(ROUND(((($D$3+$D$4)/2)-$D$5),3),FAKT_C109,2,-1)),0)</f>
        <v>170</v>
      </c>
      <c r="E25" s="175">
        <f>ROUND('BASE-C140'!C6*(VLOOKUP(ROUND(((($D$3+$D$4)/2)-$D$5),3),FAKT_C109,2,-1)),0)</f>
        <v>209</v>
      </c>
      <c r="F25" s="175">
        <f>ROUND('BASE-C140'!D6*(VLOOKUP(ROUND(((($D$3+$D$4)/2)-$D$5),3),FAKT_C109,2,-1)),0)</f>
        <v>284</v>
      </c>
      <c r="G25" s="175">
        <f>ROUND('BASE-C140'!E6*(VLOOKUP(ROUND(((($D$3+$D$4)/2)-$D$5),3),FAKT_C109,2,-1)),0)</f>
        <v>315</v>
      </c>
      <c r="H25" s="175">
        <f>ROUND('BASE-C140'!F6*(VLOOKUP(ROUND(((($D$3+$D$4)/2)-$D$5),3),FAKT_C109,2,-1)),0)</f>
        <v>356</v>
      </c>
      <c r="I25" s="175">
        <f>ROUND('BASE-C140'!G6*(VLOOKUP(ROUND(((($D$3+$D$4)/2)-$D$5),3),FAKT_C109,2,-1)),0)</f>
        <v>371</v>
      </c>
      <c r="J25" s="175">
        <f>ROUND('BASE-C140'!H6*(VLOOKUP(ROUND(((($D$3+$D$4)/2)-$D$5),3),FAKT_C109,2,-1)),0)</f>
        <v>436</v>
      </c>
      <c r="K25" s="176">
        <f>ROUND('BASE-C140'!I6*(VLOOKUP(ROUND(((($D$3+$D$4)/2)-$D$5),3),FAKT_C109,2,-1)),0)</f>
        <v>493</v>
      </c>
    </row>
    <row r="26" spans="2:11" ht="12.75" customHeight="1" x14ac:dyDescent="0.2">
      <c r="B26" s="482"/>
      <c r="C26" s="482"/>
      <c r="D26" s="189">
        <f t="shared" ref="D26:K26" si="4">ROUNDDOWN(D25/(1.161*($D$3-$D$4)),0)</f>
        <v>14</v>
      </c>
      <c r="E26" s="177">
        <f t="shared" si="4"/>
        <v>18</v>
      </c>
      <c r="F26" s="177">
        <f t="shared" si="4"/>
        <v>24</v>
      </c>
      <c r="G26" s="177">
        <f t="shared" si="4"/>
        <v>27</v>
      </c>
      <c r="H26" s="177">
        <f t="shared" si="4"/>
        <v>30</v>
      </c>
      <c r="I26" s="177">
        <f t="shared" si="4"/>
        <v>31</v>
      </c>
      <c r="J26" s="177">
        <f t="shared" si="4"/>
        <v>37</v>
      </c>
      <c r="K26" s="178">
        <f t="shared" si="4"/>
        <v>42</v>
      </c>
    </row>
    <row r="27" spans="2:11" ht="12.75" customHeight="1" x14ac:dyDescent="0.2">
      <c r="B27" s="496">
        <v>1250</v>
      </c>
      <c r="C27" s="496"/>
      <c r="D27" s="190">
        <f>ROUND('BASE-C140'!B7*(VLOOKUP(ROUND(((($D$3+$D$4)/2)-$D$5),3),FAKT_C109,2,-1)),0)</f>
        <v>191</v>
      </c>
      <c r="E27" s="179">
        <f>ROUND('BASE-C140'!C7*(VLOOKUP(ROUND(((($D$3+$D$4)/2)-$D$5),3),FAKT_C109,2,-1)),0)</f>
        <v>235</v>
      </c>
      <c r="F27" s="179">
        <f>ROUND('BASE-C140'!D7*(VLOOKUP(ROUND(((($D$3+$D$4)/2)-$D$5),3),FAKT_C109,2,-1)),0)</f>
        <v>319</v>
      </c>
      <c r="G27" s="179">
        <f>ROUND('BASE-C140'!E7*(VLOOKUP(ROUND(((($D$3+$D$4)/2)-$D$5),3),FAKT_C109,2,-1)),0)</f>
        <v>355</v>
      </c>
      <c r="H27" s="179">
        <f>ROUND('BASE-C140'!F7*(VLOOKUP(ROUND(((($D$3+$D$4)/2)-$D$5),3),FAKT_C109,2,-1)),0)</f>
        <v>401</v>
      </c>
      <c r="I27" s="179">
        <f>ROUND('BASE-C140'!G7*(VLOOKUP(ROUND(((($D$3+$D$4)/2)-$D$5),3),FAKT_C109,2,-1)),0)</f>
        <v>418</v>
      </c>
      <c r="J27" s="179">
        <f>ROUND('BASE-C140'!H7*(VLOOKUP(ROUND(((($D$3+$D$4)/2)-$D$5),3),FAKT_C109,2,-1)),0)</f>
        <v>490</v>
      </c>
      <c r="K27" s="180">
        <f>ROUND('BASE-C140'!I7*(VLOOKUP(ROUND(((($D$3+$D$4)/2)-$D$5),3),FAKT_C109,2,-1)),0)</f>
        <v>554</v>
      </c>
    </row>
    <row r="28" spans="2:11" ht="12.75" customHeight="1" x14ac:dyDescent="0.2">
      <c r="B28" s="496"/>
      <c r="C28" s="496"/>
      <c r="D28" s="191">
        <f t="shared" ref="D28:K28" si="5">ROUNDDOWN(D27/(1.161*($D$3-$D$4)),0)</f>
        <v>16</v>
      </c>
      <c r="E28" s="181">
        <f t="shared" si="5"/>
        <v>20</v>
      </c>
      <c r="F28" s="181">
        <f t="shared" si="5"/>
        <v>27</v>
      </c>
      <c r="G28" s="181">
        <f t="shared" si="5"/>
        <v>30</v>
      </c>
      <c r="H28" s="181">
        <f t="shared" si="5"/>
        <v>34</v>
      </c>
      <c r="I28" s="181">
        <f t="shared" si="5"/>
        <v>36</v>
      </c>
      <c r="J28" s="181">
        <f t="shared" si="5"/>
        <v>42</v>
      </c>
      <c r="K28" s="182">
        <f t="shared" si="5"/>
        <v>47</v>
      </c>
    </row>
    <row r="29" spans="2:11" ht="12.75" customHeight="1" x14ac:dyDescent="0.2">
      <c r="B29" s="482">
        <v>1350</v>
      </c>
      <c r="C29" s="482"/>
      <c r="D29" s="188">
        <f>ROUND('BASE-C140'!B8*(VLOOKUP(ROUND(((($D$3+$D$4)/2)-$D$5),3),FAKT_C109,2,-1)),0)</f>
        <v>211</v>
      </c>
      <c r="E29" s="175">
        <f>ROUND('BASE-C140'!C8*(VLOOKUP(ROUND(((($D$3+$D$4)/2)-$D$5),3),FAKT_C109,2,-1)),0)</f>
        <v>262</v>
      </c>
      <c r="F29" s="175">
        <f>ROUND('BASE-C140'!D8*(VLOOKUP(ROUND(((($D$3+$D$4)/2)-$D$5),3),FAKT_C109,2,-1)),0)</f>
        <v>355</v>
      </c>
      <c r="G29" s="175">
        <f>ROUND('BASE-C140'!E8*(VLOOKUP(ROUND(((($D$3+$D$4)/2)-$D$5),3),FAKT_C109,2,-1)),0)</f>
        <v>394</v>
      </c>
      <c r="H29" s="175">
        <f>ROUND('BASE-C140'!F8*(VLOOKUP(ROUND(((($D$3+$D$4)/2)-$D$5),3),FAKT_C109,2,-1)),0)</f>
        <v>445</v>
      </c>
      <c r="I29" s="175">
        <f>ROUND('BASE-C140'!G8*(VLOOKUP(ROUND(((($D$3+$D$4)/2)-$D$5),3),FAKT_C109,2,-1)),0)</f>
        <v>464</v>
      </c>
      <c r="J29" s="175">
        <f>ROUND('BASE-C140'!H8*(VLOOKUP(ROUND(((($D$3+$D$4)/2)-$D$5),3),FAKT_C109,2,-1)),0)</f>
        <v>545</v>
      </c>
      <c r="K29" s="176">
        <f>ROUND('BASE-C140'!I8*(VLOOKUP(ROUND(((($D$3+$D$4)/2)-$D$5),3),FAKT_C109,2,-1)),0)</f>
        <v>616</v>
      </c>
    </row>
    <row r="30" spans="2:11" ht="12.75" customHeight="1" x14ac:dyDescent="0.2">
      <c r="B30" s="482"/>
      <c r="C30" s="482"/>
      <c r="D30" s="189">
        <f t="shared" ref="D30:K30" si="6">ROUNDDOWN(D29/(1.161*($D$3-$D$4)),0)</f>
        <v>18</v>
      </c>
      <c r="E30" s="177">
        <f t="shared" si="6"/>
        <v>22</v>
      </c>
      <c r="F30" s="177">
        <f t="shared" si="6"/>
        <v>30</v>
      </c>
      <c r="G30" s="177">
        <f t="shared" si="6"/>
        <v>33</v>
      </c>
      <c r="H30" s="177">
        <f t="shared" si="6"/>
        <v>38</v>
      </c>
      <c r="I30" s="177">
        <f t="shared" si="6"/>
        <v>39</v>
      </c>
      <c r="J30" s="177">
        <f t="shared" si="6"/>
        <v>46</v>
      </c>
      <c r="K30" s="178">
        <f t="shared" si="6"/>
        <v>53</v>
      </c>
    </row>
    <row r="31" spans="2:11" ht="12.75" customHeight="1" x14ac:dyDescent="0.2">
      <c r="B31" s="496">
        <v>1550</v>
      </c>
      <c r="C31" s="496"/>
      <c r="D31" s="190">
        <f>ROUND('BASE-C140'!B9*(VLOOKUP(ROUND(((($D$3+$D$4)/2)-$D$5),3),FAKT_C109,2,-1)),0)</f>
        <v>254</v>
      </c>
      <c r="E31" s="179">
        <f>ROUND('BASE-C140'!C9*(VLOOKUP(ROUND(((($D$3+$D$4)/2)-$D$5),3),FAKT_C109,2,-1)),0)</f>
        <v>313</v>
      </c>
      <c r="F31" s="179">
        <f>ROUND('BASE-C140'!D9*(VLOOKUP(ROUND(((($D$3+$D$4)/2)-$D$5),3),FAKT_C109,2,-1)),0)</f>
        <v>425</v>
      </c>
      <c r="G31" s="179">
        <f>ROUND('BASE-C140'!E9*(VLOOKUP(ROUND(((($D$3+$D$4)/2)-$D$5),3),FAKT_C109,2,-1)),0)</f>
        <v>472</v>
      </c>
      <c r="H31" s="179">
        <f>ROUND('BASE-C140'!F9*(VLOOKUP(ROUND(((($D$3+$D$4)/2)-$D$5),3),FAKT_C109,2,-1)),0)</f>
        <v>533</v>
      </c>
      <c r="I31" s="179">
        <f>ROUND('BASE-C140'!G9*(VLOOKUP(ROUND(((($D$3+$D$4)/2)-$D$5),3),FAKT_C109,2,-1)),0)</f>
        <v>557</v>
      </c>
      <c r="J31" s="179">
        <f>ROUND('BASE-C140'!H9*(VLOOKUP(ROUND(((($D$3+$D$4)/2)-$D$5),3),FAKT_C109,2,-1)),0)</f>
        <v>654</v>
      </c>
      <c r="K31" s="180">
        <f>ROUND('BASE-C140'!I9*(VLOOKUP(ROUND(((($D$3+$D$4)/2)-$D$5),3),FAKT_C109,2,-1)),0)</f>
        <v>740</v>
      </c>
    </row>
    <row r="32" spans="2:11" ht="12.75" customHeight="1" x14ac:dyDescent="0.2">
      <c r="B32" s="496"/>
      <c r="C32" s="496"/>
      <c r="D32" s="191">
        <f t="shared" ref="D32:K32" si="7">ROUNDDOWN(D31/(1.161*($D$3-$D$4)),0)</f>
        <v>21</v>
      </c>
      <c r="E32" s="181">
        <f t="shared" si="7"/>
        <v>26</v>
      </c>
      <c r="F32" s="181">
        <f t="shared" si="7"/>
        <v>36</v>
      </c>
      <c r="G32" s="181">
        <f t="shared" si="7"/>
        <v>40</v>
      </c>
      <c r="H32" s="181">
        <f t="shared" si="7"/>
        <v>45</v>
      </c>
      <c r="I32" s="181">
        <f t="shared" si="7"/>
        <v>47</v>
      </c>
      <c r="J32" s="181">
        <f t="shared" si="7"/>
        <v>56</v>
      </c>
      <c r="K32" s="182">
        <f t="shared" si="7"/>
        <v>63</v>
      </c>
    </row>
    <row r="33" spans="2:11" ht="12.75" customHeight="1" x14ac:dyDescent="0.2">
      <c r="B33" s="482">
        <v>1750</v>
      </c>
      <c r="C33" s="482"/>
      <c r="D33" s="188">
        <f>ROUND('BASE-C140'!B10*(VLOOKUP(ROUND(((($D$3+$D$4)/2)-$D$5),3),FAKT_C109,2,-1)),0)</f>
        <v>297</v>
      </c>
      <c r="E33" s="175">
        <f>ROUND('BASE-C140'!C10*(VLOOKUP(ROUND(((($D$3+$D$4)/2)-$D$5),3),FAKT_C109,2,-1)),0)</f>
        <v>367</v>
      </c>
      <c r="F33" s="175">
        <f>ROUND('BASE-C140'!D10*(VLOOKUP(ROUND(((($D$3+$D$4)/2)-$D$5),3),FAKT_C109,2,-1)),0)</f>
        <v>497</v>
      </c>
      <c r="G33" s="175">
        <f>ROUND('BASE-C140'!E10*(VLOOKUP(ROUND(((($D$3+$D$4)/2)-$D$5),3),FAKT_C109,2,-1)),0)</f>
        <v>552</v>
      </c>
      <c r="H33" s="175">
        <f>ROUND('BASE-C140'!F10*(VLOOKUP(ROUND(((($D$3+$D$4)/2)-$D$5),3),FAKT_C109,2,-1)),0)</f>
        <v>623</v>
      </c>
      <c r="I33" s="175">
        <f>ROUND('BASE-C140'!G10*(VLOOKUP(ROUND(((($D$3+$D$4)/2)-$D$5),3),FAKT_C109,2,-1)),0)</f>
        <v>651</v>
      </c>
      <c r="J33" s="175">
        <f>ROUND('BASE-C140'!H10*(VLOOKUP(ROUND(((($D$3+$D$4)/2)-$D$5),3),FAKT_C109,2,-1)),0)</f>
        <v>763</v>
      </c>
      <c r="K33" s="176">
        <f>ROUND('BASE-C140'!I10*(VLOOKUP(ROUND(((($D$3+$D$4)/2)-$D$5),3),FAKT_C109,2,-1)),0)</f>
        <v>863</v>
      </c>
    </row>
    <row r="34" spans="2:11" ht="12.75" customHeight="1" x14ac:dyDescent="0.2">
      <c r="B34" s="482"/>
      <c r="C34" s="482"/>
      <c r="D34" s="189">
        <f t="shared" ref="D34:K34" si="8">ROUNDDOWN(D33/(1.161*($D$3-$D$4)),0)</f>
        <v>25</v>
      </c>
      <c r="E34" s="177">
        <f t="shared" si="8"/>
        <v>31</v>
      </c>
      <c r="F34" s="177">
        <f t="shared" si="8"/>
        <v>42</v>
      </c>
      <c r="G34" s="177">
        <f t="shared" si="8"/>
        <v>47</v>
      </c>
      <c r="H34" s="177">
        <f t="shared" si="8"/>
        <v>53</v>
      </c>
      <c r="I34" s="177">
        <f t="shared" si="8"/>
        <v>56</v>
      </c>
      <c r="J34" s="177">
        <f t="shared" si="8"/>
        <v>65</v>
      </c>
      <c r="K34" s="178">
        <f t="shared" si="8"/>
        <v>74</v>
      </c>
    </row>
    <row r="35" spans="2:11" ht="12.75" customHeight="1" x14ac:dyDescent="0.2">
      <c r="B35" s="496">
        <v>1950</v>
      </c>
      <c r="C35" s="496"/>
      <c r="D35" s="190">
        <f>ROUND('BASE-C140'!B11*(VLOOKUP(ROUND(((($D$3+$D$4)/2)-$D$5),3),FAKT_C109,2,-1)),0)</f>
        <v>339</v>
      </c>
      <c r="E35" s="179">
        <f>ROUND('BASE-C140'!C11*(VLOOKUP(ROUND(((($D$3+$D$4)/2)-$D$5),3),FAKT_C109,2,-1)),0)</f>
        <v>418</v>
      </c>
      <c r="F35" s="179">
        <f>ROUND('BASE-C140'!D11*(VLOOKUP(ROUND(((($D$3+$D$4)/2)-$D$5),3),FAKT_C109,2,-1)),0)</f>
        <v>567</v>
      </c>
      <c r="G35" s="179">
        <f>ROUND('BASE-C140'!E11*(VLOOKUP(ROUND(((($D$3+$D$4)/2)-$D$5),3),FAKT_C109,2,-1)),0)</f>
        <v>630</v>
      </c>
      <c r="H35" s="179">
        <f>ROUND('BASE-C140'!F11*(VLOOKUP(ROUND(((($D$3+$D$4)/2)-$D$5),3),FAKT_C109,2,-1)),0)</f>
        <v>711</v>
      </c>
      <c r="I35" s="179">
        <f>ROUND('BASE-C140'!G11*(VLOOKUP(ROUND(((($D$3+$D$4)/2)-$D$5),3),FAKT_C109,2,-1)),0)</f>
        <v>743</v>
      </c>
      <c r="J35" s="179">
        <f>ROUND('BASE-C140'!H11*(VLOOKUP(ROUND(((($D$3+$D$4)/2)-$D$5),3),FAKT_C109,2,-1)),0)</f>
        <v>872</v>
      </c>
      <c r="K35" s="180">
        <f>ROUND('BASE-C140'!I11*(VLOOKUP(ROUND(((($D$3+$D$4)/2)-$D$5),3),FAKT_C109,2,-1)),0)</f>
        <v>986</v>
      </c>
    </row>
    <row r="36" spans="2:11" ht="12.75" customHeight="1" x14ac:dyDescent="0.2">
      <c r="B36" s="496"/>
      <c r="C36" s="496"/>
      <c r="D36" s="191">
        <f t="shared" ref="D36:K36" si="9">ROUNDDOWN(D35/(1.161*($D$3-$D$4)),0)</f>
        <v>29</v>
      </c>
      <c r="E36" s="181">
        <f t="shared" si="9"/>
        <v>36</v>
      </c>
      <c r="F36" s="181">
        <f t="shared" si="9"/>
        <v>48</v>
      </c>
      <c r="G36" s="181">
        <f t="shared" si="9"/>
        <v>54</v>
      </c>
      <c r="H36" s="181">
        <f t="shared" si="9"/>
        <v>61</v>
      </c>
      <c r="I36" s="181">
        <f t="shared" si="9"/>
        <v>63</v>
      </c>
      <c r="J36" s="181">
        <f t="shared" si="9"/>
        <v>75</v>
      </c>
      <c r="K36" s="182">
        <f t="shared" si="9"/>
        <v>84</v>
      </c>
    </row>
    <row r="37" spans="2:11" ht="12.75" customHeight="1" x14ac:dyDescent="0.2">
      <c r="B37" s="482">
        <v>2150</v>
      </c>
      <c r="C37" s="482"/>
      <c r="D37" s="188">
        <f>ROUND('BASE-C140'!B12*(VLOOKUP(ROUND(((($D$3+$D$4)/2)-$D$5),3),FAKT_C109,2,-1)),0)</f>
        <v>381</v>
      </c>
      <c r="E37" s="175">
        <f>ROUND('BASE-C140'!C12*(VLOOKUP(ROUND(((($D$3+$D$4)/2)-$D$5),3),FAKT_C109,2,-1)),0)</f>
        <v>471</v>
      </c>
      <c r="F37" s="175">
        <f>ROUND('BASE-C140'!D12*(VLOOKUP(ROUND(((($D$3+$D$4)/2)-$D$5),3),FAKT_C109,2,-1)),0)</f>
        <v>638</v>
      </c>
      <c r="G37" s="175">
        <f>ROUND('BASE-C140'!E12*(VLOOKUP(ROUND(((($D$3+$D$4)/2)-$D$5),3),FAKT_C109,2,-1)),0)</f>
        <v>709</v>
      </c>
      <c r="H37" s="175">
        <f>ROUND('BASE-C140'!F12*(VLOOKUP(ROUND(((($D$3+$D$4)/2)-$D$5),3),FAKT_C109,2,-1)),0)</f>
        <v>801</v>
      </c>
      <c r="I37" s="175">
        <f>ROUND('BASE-C140'!G12*(VLOOKUP(ROUND(((($D$3+$D$4)/2)-$D$5),3),FAKT_C109,2,-1)),0)</f>
        <v>836</v>
      </c>
      <c r="J37" s="175">
        <f>ROUND('BASE-C140'!H12*(VLOOKUP(ROUND(((($D$3+$D$4)/2)-$D$5),3),FAKT_C109,2,-1)),0)</f>
        <v>980</v>
      </c>
      <c r="K37" s="176">
        <f>ROUND('BASE-C140'!I12*(VLOOKUP(ROUND(((($D$3+$D$4)/2)-$D$5),3),FAKT_C109,2,-1)),0)</f>
        <v>1109</v>
      </c>
    </row>
    <row r="38" spans="2:11" ht="12.75" customHeight="1" x14ac:dyDescent="0.2">
      <c r="B38" s="482"/>
      <c r="C38" s="482"/>
      <c r="D38" s="189">
        <f t="shared" ref="D38:K38" si="10">ROUNDDOWN(D37/(1.161*($D$3-$D$4)),0)</f>
        <v>32</v>
      </c>
      <c r="E38" s="177">
        <f t="shared" si="10"/>
        <v>40</v>
      </c>
      <c r="F38" s="177">
        <f t="shared" si="10"/>
        <v>54</v>
      </c>
      <c r="G38" s="177">
        <f t="shared" si="10"/>
        <v>61</v>
      </c>
      <c r="H38" s="177">
        <f t="shared" si="10"/>
        <v>68</v>
      </c>
      <c r="I38" s="177">
        <f t="shared" si="10"/>
        <v>72</v>
      </c>
      <c r="J38" s="177">
        <f t="shared" si="10"/>
        <v>84</v>
      </c>
      <c r="K38" s="178">
        <f t="shared" si="10"/>
        <v>95</v>
      </c>
    </row>
    <row r="39" spans="2:11" ht="12.75" customHeight="1" x14ac:dyDescent="0.2">
      <c r="B39" s="496">
        <v>2350</v>
      </c>
      <c r="C39" s="496"/>
      <c r="D39" s="190">
        <f>ROUND('BASE-C140'!B13*(VLOOKUP(ROUND(((($D$3+$D$4)/2)-$D$5),3),FAKT_C109,2,-1)),0)</f>
        <v>424</v>
      </c>
      <c r="E39" s="179">
        <f>ROUND('BASE-C140'!C13*(VLOOKUP(ROUND(((($D$3+$D$4)/2)-$D$5),3),FAKT_C109,2,-1)),0)</f>
        <v>523</v>
      </c>
      <c r="F39" s="179">
        <f>ROUND('BASE-C140'!D13*(VLOOKUP(ROUND(((($D$3+$D$4)/2)-$D$5),3),FAKT_C109,2,-1)),0)</f>
        <v>709</v>
      </c>
      <c r="G39" s="179">
        <f>ROUND('BASE-C140'!E13*(VLOOKUP(ROUND(((($D$3+$D$4)/2)-$D$5),3),FAKT_C109,2,-1)),0)</f>
        <v>788</v>
      </c>
      <c r="H39" s="179">
        <f>ROUND('BASE-C140'!F13*(VLOOKUP(ROUND(((($D$3+$D$4)/2)-$D$5),3),FAKT_C109,2,-1)),0)</f>
        <v>890</v>
      </c>
      <c r="I39" s="179">
        <f>ROUND('BASE-C140'!G13*(VLOOKUP(ROUND(((($D$3+$D$4)/2)-$D$5),3),FAKT_C109,2,-1)),0)</f>
        <v>929</v>
      </c>
      <c r="J39" s="179">
        <f>ROUND('BASE-C140'!H13*(VLOOKUP(ROUND(((($D$3+$D$4)/2)-$D$5),3),FAKT_C109,2,-1)),0)</f>
        <v>1090</v>
      </c>
      <c r="K39" s="180">
        <f>ROUND('BASE-C140'!I13*(VLOOKUP(ROUND(((($D$3+$D$4)/2)-$D$5),3),FAKT_C109,2,-1)),0)</f>
        <v>1233</v>
      </c>
    </row>
    <row r="40" spans="2:11" ht="12.75" customHeight="1" x14ac:dyDescent="0.2">
      <c r="B40" s="496"/>
      <c r="C40" s="496"/>
      <c r="D40" s="191">
        <f t="shared" ref="D40:K40" si="11">ROUNDDOWN(D39/(1.161*($D$3-$D$4)),0)</f>
        <v>36</v>
      </c>
      <c r="E40" s="181">
        <f t="shared" si="11"/>
        <v>45</v>
      </c>
      <c r="F40" s="181">
        <f t="shared" si="11"/>
        <v>61</v>
      </c>
      <c r="G40" s="181">
        <f t="shared" si="11"/>
        <v>67</v>
      </c>
      <c r="H40" s="181">
        <f t="shared" si="11"/>
        <v>76</v>
      </c>
      <c r="I40" s="181">
        <f t="shared" si="11"/>
        <v>80</v>
      </c>
      <c r="J40" s="181">
        <f t="shared" si="11"/>
        <v>93</v>
      </c>
      <c r="K40" s="182">
        <f t="shared" si="11"/>
        <v>106</v>
      </c>
    </row>
    <row r="41" spans="2:11" ht="12.75" customHeight="1" x14ac:dyDescent="0.2">
      <c r="B41" s="482">
        <v>2550</v>
      </c>
      <c r="C41" s="482"/>
      <c r="D41" s="188">
        <f>ROUND('BASE-C140'!B14*(VLOOKUP(ROUND(((($D$3+$D$4)/2)-$D$5),3),FAKT_C109,2,-1)),0)</f>
        <v>466</v>
      </c>
      <c r="E41" s="175">
        <f>ROUND('BASE-C140'!C14*(VLOOKUP(ROUND(((($D$3+$D$4)/2)-$D$5),3),FAKT_C109,2,-1)),0)</f>
        <v>575</v>
      </c>
      <c r="F41" s="175">
        <f>ROUND('BASE-C140'!D14*(VLOOKUP(ROUND(((($D$3+$D$4)/2)-$D$5),3),FAKT_C109,2,-1)),0)</f>
        <v>779</v>
      </c>
      <c r="G41" s="175">
        <f>ROUND('BASE-C140'!E14*(VLOOKUP(ROUND(((($D$3+$D$4)/2)-$D$5),3),FAKT_C109,2,-1)),0)</f>
        <v>866</v>
      </c>
      <c r="H41" s="175">
        <f>ROUND('BASE-C140'!F14*(VLOOKUP(ROUND(((($D$3+$D$4)/2)-$D$5),3),FAKT_C109,2,-1)),0)</f>
        <v>978</v>
      </c>
      <c r="I41" s="175">
        <f>ROUND('BASE-C140'!G14*(VLOOKUP(ROUND(((($D$3+$D$4)/2)-$D$5),3),FAKT_C109,2,-1)),0)</f>
        <v>1021</v>
      </c>
      <c r="J41" s="175">
        <f>ROUND('BASE-C140'!H14*(VLOOKUP(ROUND(((($D$3+$D$4)/2)-$D$5),3),FAKT_C109,2,-1)),0)</f>
        <v>1199</v>
      </c>
      <c r="K41" s="176">
        <f>ROUND('BASE-C140'!I14*(VLOOKUP(ROUND(((($D$3+$D$4)/2)-$D$5),3),FAKT_C109,2,-1)),0)</f>
        <v>1356</v>
      </c>
    </row>
    <row r="42" spans="2:11" ht="12.75" customHeight="1" x14ac:dyDescent="0.2">
      <c r="B42" s="482"/>
      <c r="C42" s="482"/>
      <c r="D42" s="189">
        <f t="shared" ref="D42:K42" si="12">ROUNDDOWN(D41/(1.161*($D$3-$D$4)),0)</f>
        <v>40</v>
      </c>
      <c r="E42" s="177">
        <f t="shared" si="12"/>
        <v>49</v>
      </c>
      <c r="F42" s="177">
        <f t="shared" si="12"/>
        <v>67</v>
      </c>
      <c r="G42" s="177">
        <f t="shared" si="12"/>
        <v>74</v>
      </c>
      <c r="H42" s="177">
        <f t="shared" si="12"/>
        <v>84</v>
      </c>
      <c r="I42" s="177">
        <f t="shared" si="12"/>
        <v>87</v>
      </c>
      <c r="J42" s="177">
        <f t="shared" si="12"/>
        <v>103</v>
      </c>
      <c r="K42" s="178">
        <f t="shared" si="12"/>
        <v>116</v>
      </c>
    </row>
    <row r="43" spans="2:11" ht="12.75" customHeight="1" x14ac:dyDescent="0.2">
      <c r="B43" s="496">
        <v>2750</v>
      </c>
      <c r="C43" s="496"/>
      <c r="D43" s="190">
        <f>ROUND('BASE-C140'!B15*(VLOOKUP(ROUND(((($D$3+$D$4)/2)-$D$5),3),FAKT_C109,2,-1)),0)</f>
        <v>508</v>
      </c>
      <c r="E43" s="179">
        <f>ROUND('BASE-C140'!C15*(VLOOKUP(ROUND(((($D$3+$D$4)/2)-$D$5),3),FAKT_C109,2,-1)),0)</f>
        <v>628</v>
      </c>
      <c r="F43" s="179">
        <f>ROUND('BASE-C140'!D15*(VLOOKUP(ROUND(((($D$3+$D$4)/2)-$D$5),3),FAKT_C109,2,-1)),0)</f>
        <v>851</v>
      </c>
      <c r="G43" s="179">
        <f>ROUND('BASE-C140'!E15*(VLOOKUP(ROUND(((($D$3+$D$4)/2)-$D$5),3),FAKT_C109,2,-1)),0)</f>
        <v>946</v>
      </c>
      <c r="H43" s="179">
        <f>ROUND('BASE-C140'!F15*(VLOOKUP(ROUND(((($D$3+$D$4)/2)-$D$5),3),FAKT_C109,2,-1)),0)</f>
        <v>1068</v>
      </c>
      <c r="I43" s="179">
        <f>ROUND('BASE-C140'!G15*(VLOOKUP(ROUND(((($D$3+$D$4)/2)-$D$5),3),FAKT_C109,2,-1)),0)</f>
        <v>1115</v>
      </c>
      <c r="J43" s="179">
        <f>ROUND('BASE-C140'!H15*(VLOOKUP(ROUND(((($D$3+$D$4)/2)-$D$5),3),FAKT_C109,2,-1)),0)</f>
        <v>1307</v>
      </c>
      <c r="K43" s="180">
        <f>ROUND('BASE-C140'!I15*(VLOOKUP(ROUND(((($D$3+$D$4)/2)-$D$5),3),FAKT_C109,2,-1)),0)</f>
        <v>1479</v>
      </c>
    </row>
    <row r="44" spans="2:11" ht="12.75" customHeight="1" x14ac:dyDescent="0.2">
      <c r="B44" s="496"/>
      <c r="C44" s="496"/>
      <c r="D44" s="191">
        <f t="shared" ref="D44:K44" si="13">ROUNDDOWN(D43/(1.161*($D$3-$D$4)),0)</f>
        <v>43</v>
      </c>
      <c r="E44" s="181">
        <f t="shared" si="13"/>
        <v>54</v>
      </c>
      <c r="F44" s="181">
        <f t="shared" si="13"/>
        <v>73</v>
      </c>
      <c r="G44" s="181">
        <f t="shared" si="13"/>
        <v>81</v>
      </c>
      <c r="H44" s="181">
        <f t="shared" si="13"/>
        <v>91</v>
      </c>
      <c r="I44" s="181">
        <f t="shared" si="13"/>
        <v>96</v>
      </c>
      <c r="J44" s="181">
        <f t="shared" si="13"/>
        <v>112</v>
      </c>
      <c r="K44" s="182">
        <f t="shared" si="13"/>
        <v>127</v>
      </c>
    </row>
    <row r="45" spans="2:11" ht="12.75" customHeight="1" x14ac:dyDescent="0.2">
      <c r="B45" s="482">
        <v>2950</v>
      </c>
      <c r="C45" s="482"/>
      <c r="D45" s="188">
        <f>ROUND('BASE-C140'!B16*(VLOOKUP(ROUND(((($D$3+$D$4)/2)-$D$5),3),FAKT_C109,2,-1)),0)</f>
        <v>551</v>
      </c>
      <c r="E45" s="175">
        <f>ROUND('BASE-C140'!C16*(VLOOKUP(ROUND(((($D$3+$D$4)/2)-$D$5),3),FAKT_C109,2,-1)),0)</f>
        <v>680</v>
      </c>
      <c r="F45" s="175">
        <f>ROUND('BASE-C140'!D16*(VLOOKUP(ROUND(((($D$3+$D$4)/2)-$D$5),3),FAKT_C109,2,-1)),0)</f>
        <v>922</v>
      </c>
      <c r="G45" s="175">
        <f>ROUND('BASE-C140'!E16*(VLOOKUP(ROUND(((($D$3+$D$4)/2)-$D$5),3),FAKT_C109,2,-1)),0)</f>
        <v>1024</v>
      </c>
      <c r="H45" s="175">
        <f>ROUND('BASE-C140'!F16*(VLOOKUP(ROUND(((($D$3+$D$4)/2)-$D$5),3),FAKT_C109,2,-1)),0)</f>
        <v>1156</v>
      </c>
      <c r="I45" s="175">
        <f>ROUND('BASE-C140'!G16*(VLOOKUP(ROUND(((($D$3+$D$4)/2)-$D$5),3),FAKT_C109,2,-1)),0)</f>
        <v>1207</v>
      </c>
      <c r="J45" s="175">
        <f>ROUND('BASE-C140'!H16*(VLOOKUP(ROUND(((($D$3+$D$4)/2)-$D$5),3),FAKT_C109,2,-1)),0)</f>
        <v>1417</v>
      </c>
      <c r="K45" s="176">
        <f>ROUND('BASE-C140'!I16*(VLOOKUP(ROUND(((($D$3+$D$4)/2)-$D$5),3),FAKT_C109,2,-1)),0)</f>
        <v>1603</v>
      </c>
    </row>
    <row r="46" spans="2:11" ht="12.75" customHeight="1" x14ac:dyDescent="0.2">
      <c r="B46" s="482"/>
      <c r="C46" s="482"/>
      <c r="D46" s="189">
        <f t="shared" ref="D46:K46" si="14">ROUNDDOWN(D45/(1.161*($D$3-$D$4)),0)</f>
        <v>47</v>
      </c>
      <c r="E46" s="177">
        <f t="shared" si="14"/>
        <v>58</v>
      </c>
      <c r="F46" s="177">
        <f t="shared" si="14"/>
        <v>79</v>
      </c>
      <c r="G46" s="177">
        <f t="shared" si="14"/>
        <v>88</v>
      </c>
      <c r="H46" s="177">
        <f t="shared" si="14"/>
        <v>99</v>
      </c>
      <c r="I46" s="177">
        <f t="shared" si="14"/>
        <v>103</v>
      </c>
      <c r="J46" s="177">
        <f t="shared" si="14"/>
        <v>122</v>
      </c>
      <c r="K46" s="178">
        <f t="shared" si="14"/>
        <v>138</v>
      </c>
    </row>
    <row r="47" spans="2:11" ht="12.75" customHeight="1" x14ac:dyDescent="0.2">
      <c r="B47" s="496">
        <v>3150</v>
      </c>
      <c r="C47" s="496"/>
      <c r="D47" s="190">
        <f>ROUND('BASE-C140'!B17*(VLOOKUP(ROUND(((($D$3+$D$4)/2)-$D$5),3),FAKT_C109,2,-1)),0)</f>
        <v>594</v>
      </c>
      <c r="E47" s="179">
        <f>ROUND('BASE-C140'!C17*(VLOOKUP(ROUND(((($D$3+$D$4)/2)-$D$5),3),FAKT_C109,2,-1)),0)</f>
        <v>732</v>
      </c>
      <c r="F47" s="179">
        <f>ROUND('BASE-C140'!D17*(VLOOKUP(ROUND(((($D$3+$D$4)/2)-$D$5),3),FAKT_C109,2,-1)),0)</f>
        <v>993</v>
      </c>
      <c r="G47" s="179">
        <f>ROUND('BASE-C140'!E17*(VLOOKUP(ROUND(((($D$3+$D$4)/2)-$D$5),3),FAKT_C109,2,-1)),0)</f>
        <v>1103</v>
      </c>
      <c r="H47" s="179">
        <f>ROUND('BASE-C140'!F17*(VLOOKUP(ROUND(((($D$3+$D$4)/2)-$D$5),3),FAKT_C109,2,-1)),0)</f>
        <v>1246</v>
      </c>
      <c r="I47" s="179">
        <f>ROUND('BASE-C140'!G17*(VLOOKUP(ROUND(((($D$3+$D$4)/2)-$D$5),3),FAKT_C109,2,-1)),0)</f>
        <v>1300</v>
      </c>
      <c r="J47" s="179">
        <f>ROUND('BASE-C140'!H17*(VLOOKUP(ROUND(((($D$3+$D$4)/2)-$D$5),3),FAKT_C109,2,-1)),0)</f>
        <v>1525</v>
      </c>
      <c r="K47" s="180">
        <f>ROUND('BASE-C140'!I17*(VLOOKUP(ROUND(((($D$3+$D$4)/2)-$D$5),3),FAKT_C109,2,-1)),0)</f>
        <v>1725</v>
      </c>
    </row>
    <row r="48" spans="2:11" ht="12.75" customHeight="1" x14ac:dyDescent="0.2">
      <c r="B48" s="496"/>
      <c r="C48" s="496"/>
      <c r="D48" s="191">
        <f t="shared" ref="D48:K48" si="15">ROUNDDOWN(D47/(1.161*($D$3-$D$4)),0)</f>
        <v>51</v>
      </c>
      <c r="E48" s="181">
        <f t="shared" si="15"/>
        <v>63</v>
      </c>
      <c r="F48" s="181">
        <f t="shared" si="15"/>
        <v>85</v>
      </c>
      <c r="G48" s="181">
        <f t="shared" si="15"/>
        <v>95</v>
      </c>
      <c r="H48" s="181">
        <f t="shared" si="15"/>
        <v>107</v>
      </c>
      <c r="I48" s="181">
        <f t="shared" si="15"/>
        <v>111</v>
      </c>
      <c r="J48" s="181">
        <f t="shared" si="15"/>
        <v>131</v>
      </c>
      <c r="K48" s="182">
        <f t="shared" si="15"/>
        <v>148</v>
      </c>
    </row>
    <row r="49" spans="2:11" ht="12.75" customHeight="1" x14ac:dyDescent="0.2">
      <c r="B49" s="482">
        <v>3350</v>
      </c>
      <c r="C49" s="482"/>
      <c r="D49" s="188">
        <f>ROUND('BASE-C140'!B18*(VLOOKUP(ROUND(((($D$3+$D$4)/2)-$D$5),3),FAKT_C109,2,-1)),0)</f>
        <v>635</v>
      </c>
      <c r="E49" s="175">
        <f>ROUND('BASE-C140'!C18*(VLOOKUP(ROUND(((($D$3+$D$4)/2)-$D$5),3),FAKT_C109,2,-1)),0)</f>
        <v>785</v>
      </c>
      <c r="F49" s="175">
        <f>ROUND('BASE-C140'!D18*(VLOOKUP(ROUND(((($D$3+$D$4)/2)-$D$5),3),FAKT_C109,2,-1)),0)</f>
        <v>1064</v>
      </c>
      <c r="G49" s="175">
        <f>ROUND('BASE-C140'!E18*(VLOOKUP(ROUND(((($D$3+$D$4)/2)-$D$5),3),FAKT_C109,2,-1)),0)</f>
        <v>1182</v>
      </c>
      <c r="H49" s="175">
        <f>ROUND('BASE-C140'!F18*(VLOOKUP(ROUND(((($D$3+$D$4)/2)-$D$5),3),FAKT_C109,2,-1)),0)</f>
        <v>1335</v>
      </c>
      <c r="I49" s="175">
        <f>ROUND('BASE-C140'!G18*(VLOOKUP(ROUND(((($D$3+$D$4)/2)-$D$5),3),FAKT_C109,2,-1)),0)</f>
        <v>1393</v>
      </c>
      <c r="J49" s="175">
        <f>ROUND('BASE-C140'!H18*(VLOOKUP(ROUND(((($D$3+$D$4)/2)-$D$5),3),FAKT_C109,2,-1)),0)</f>
        <v>1635</v>
      </c>
      <c r="K49" s="176">
        <f>ROUND('BASE-C140'!I18*(VLOOKUP(ROUND(((($D$3+$D$4)/2)-$D$5),3),FAKT_C109,2,-1)),0)</f>
        <v>1849</v>
      </c>
    </row>
    <row r="50" spans="2:11" ht="12.75" customHeight="1" x14ac:dyDescent="0.2">
      <c r="B50" s="482"/>
      <c r="C50" s="482"/>
      <c r="D50" s="189">
        <f t="shared" ref="D50:K50" si="16">ROUNDDOWN(D49/(1.161*($D$3-$D$4)),0)</f>
        <v>54</v>
      </c>
      <c r="E50" s="177">
        <f t="shared" si="16"/>
        <v>67</v>
      </c>
      <c r="F50" s="177">
        <f t="shared" si="16"/>
        <v>91</v>
      </c>
      <c r="G50" s="177">
        <f t="shared" si="16"/>
        <v>101</v>
      </c>
      <c r="H50" s="177">
        <f t="shared" si="16"/>
        <v>114</v>
      </c>
      <c r="I50" s="177">
        <f t="shared" si="16"/>
        <v>119</v>
      </c>
      <c r="J50" s="177">
        <f t="shared" si="16"/>
        <v>140</v>
      </c>
      <c r="K50" s="178">
        <f t="shared" si="16"/>
        <v>159</v>
      </c>
    </row>
    <row r="51" spans="2:11" ht="12.75" customHeight="1" x14ac:dyDescent="0.2">
      <c r="B51" s="496">
        <v>3550</v>
      </c>
      <c r="C51" s="496"/>
      <c r="D51" s="190">
        <f>ROUND('BASE-C140'!B19*(VLOOKUP(ROUND(((($D$3+$D$4)/2)-$D$5),3),FAKT_C109,2,-1)),0)</f>
        <v>678</v>
      </c>
      <c r="E51" s="179">
        <f>ROUND('BASE-C140'!C19*(VLOOKUP(ROUND(((($D$3+$D$4)/2)-$D$5),3),FAKT_C109,2,-1)),0)</f>
        <v>837</v>
      </c>
      <c r="F51" s="179">
        <f>ROUND('BASE-C140'!D19*(VLOOKUP(ROUND(((($D$3+$D$4)/2)-$D$5),3),FAKT_C109,2,-1)),0)</f>
        <v>1135</v>
      </c>
      <c r="G51" s="179">
        <f>ROUND('BASE-C140'!E19*(VLOOKUP(ROUND(((($D$3+$D$4)/2)-$D$5),3),FAKT_C109,2,-1)),0)</f>
        <v>1261</v>
      </c>
      <c r="H51" s="179">
        <f>ROUND('BASE-C140'!F19*(VLOOKUP(ROUND(((($D$3+$D$4)/2)-$D$5),3),FAKT_C109,2,-1)),0)</f>
        <v>1424</v>
      </c>
      <c r="I51" s="179">
        <f>ROUND('BASE-C140'!G19*(VLOOKUP(ROUND(((($D$3+$D$4)/2)-$D$5),3),FAKT_C109,2,-1)),0)</f>
        <v>1486</v>
      </c>
      <c r="J51" s="179">
        <f>ROUND('BASE-C140'!H19*(VLOOKUP(ROUND(((($D$3+$D$4)/2)-$D$5),3),FAKT_C109,2,-1)),0)</f>
        <v>1744</v>
      </c>
      <c r="K51" s="180">
        <f>ROUND('BASE-C140'!I19*(VLOOKUP(ROUND(((($D$3+$D$4)/2)-$D$5),3),FAKT_C109,2,-1)),0)</f>
        <v>1973</v>
      </c>
    </row>
    <row r="52" spans="2:11" ht="12.75" customHeight="1" x14ac:dyDescent="0.2">
      <c r="B52" s="496"/>
      <c r="C52" s="496"/>
      <c r="D52" s="191">
        <f t="shared" ref="D52:K52" si="17">ROUNDDOWN(D51/(1.161*($D$3-$D$4)),0)</f>
        <v>58</v>
      </c>
      <c r="E52" s="181">
        <f t="shared" si="17"/>
        <v>72</v>
      </c>
      <c r="F52" s="181">
        <f t="shared" si="17"/>
        <v>97</v>
      </c>
      <c r="G52" s="181">
        <f t="shared" si="17"/>
        <v>108</v>
      </c>
      <c r="H52" s="181">
        <f t="shared" si="17"/>
        <v>122</v>
      </c>
      <c r="I52" s="181">
        <f t="shared" si="17"/>
        <v>127</v>
      </c>
      <c r="J52" s="181">
        <f t="shared" si="17"/>
        <v>150</v>
      </c>
      <c r="K52" s="182">
        <f t="shared" si="17"/>
        <v>169</v>
      </c>
    </row>
    <row r="53" spans="2:11" ht="12.75" customHeight="1" x14ac:dyDescent="0.2">
      <c r="B53" s="482">
        <v>3750</v>
      </c>
      <c r="C53" s="482"/>
      <c r="D53" s="188">
        <f>ROUND('BASE-C140'!B20*(VLOOKUP(ROUND(((($D$3+$D$4)/2)-$D$5),3),FAKT_C109,2,-1)),0)</f>
        <v>721</v>
      </c>
      <c r="E53" s="175">
        <f>ROUND('BASE-C140'!C20*(VLOOKUP(ROUND(((($D$3+$D$4)/2)-$D$5),3),FAKT_C109,2,-1)),0)</f>
        <v>890</v>
      </c>
      <c r="F53" s="175">
        <f>ROUND('BASE-C140'!D20*(VLOOKUP(ROUND(((($D$3+$D$4)/2)-$D$5),3),FAKT_C109,2,-1)),0)</f>
        <v>1206</v>
      </c>
      <c r="G53" s="175">
        <f>ROUND('BASE-C140'!E20*(VLOOKUP(ROUND(((($D$3+$D$4)/2)-$D$5),3),FAKT_C109,2,-1)),0)</f>
        <v>1340</v>
      </c>
      <c r="H53" s="175">
        <f>ROUND('BASE-C140'!F20*(VLOOKUP(ROUND(((($D$3+$D$4)/2)-$D$5),3),FAKT_C109,2,-1)),0)</f>
        <v>1513</v>
      </c>
      <c r="I53" s="175">
        <f>ROUND('BASE-C140'!G20*(VLOOKUP(ROUND(((($D$3+$D$4)/2)-$D$5),3),FAKT_C109,2,-1)),0)</f>
        <v>1580</v>
      </c>
      <c r="J53" s="175">
        <f>ROUND('BASE-C140'!H20*(VLOOKUP(ROUND(((($D$3+$D$4)/2)-$D$5),3),FAKT_C109,2,-1)),0)</f>
        <v>1852</v>
      </c>
      <c r="K53" s="176">
        <f>ROUND('BASE-C140'!I20*(VLOOKUP(ROUND(((($D$3+$D$4)/2)-$D$5),3),FAKT_C109,2,-1)),0)</f>
        <v>2095</v>
      </c>
    </row>
    <row r="54" spans="2:11" ht="12.75" customHeight="1" x14ac:dyDescent="0.2">
      <c r="B54" s="482"/>
      <c r="C54" s="482"/>
      <c r="D54" s="189">
        <f t="shared" ref="D54:K54" si="18">ROUNDDOWN(D53/(1.161*($D$3-$D$4)),0)</f>
        <v>62</v>
      </c>
      <c r="E54" s="177">
        <f t="shared" si="18"/>
        <v>76</v>
      </c>
      <c r="F54" s="177">
        <f t="shared" si="18"/>
        <v>103</v>
      </c>
      <c r="G54" s="177">
        <f t="shared" si="18"/>
        <v>115</v>
      </c>
      <c r="H54" s="177">
        <f t="shared" si="18"/>
        <v>130</v>
      </c>
      <c r="I54" s="177">
        <f t="shared" si="18"/>
        <v>136</v>
      </c>
      <c r="J54" s="177">
        <f t="shared" si="18"/>
        <v>159</v>
      </c>
      <c r="K54" s="178">
        <f t="shared" si="18"/>
        <v>180</v>
      </c>
    </row>
    <row r="55" spans="2:11" ht="12.75" customHeight="1" x14ac:dyDescent="0.2">
      <c r="B55" s="496">
        <v>3950</v>
      </c>
      <c r="C55" s="496"/>
      <c r="D55" s="190">
        <f>ROUND('BASE-C140'!B21*(VLOOKUP(ROUND(((($D$3+$D$4)/2)-$D$5),3),FAKT_C109,2,-1)),0)</f>
        <v>763</v>
      </c>
      <c r="E55" s="179">
        <f>ROUND('BASE-C140'!C21*(VLOOKUP(ROUND(((($D$3+$D$4)/2)-$D$5),3),FAKT_C109,2,-1)),0)</f>
        <v>942</v>
      </c>
      <c r="F55" s="179">
        <f>ROUND('BASE-C140'!D21*(VLOOKUP(ROUND(((($D$3+$D$4)/2)-$D$5),3),FAKT_C109,2,-1)),0)</f>
        <v>1277</v>
      </c>
      <c r="G55" s="179">
        <f>ROUND('BASE-C140'!E21*(VLOOKUP(ROUND(((($D$3+$D$4)/2)-$D$5),3),FAKT_C109,2,-1)),0)</f>
        <v>1419</v>
      </c>
      <c r="H55" s="179">
        <f>ROUND('BASE-C140'!F21*(VLOOKUP(ROUND(((($D$3+$D$4)/2)-$D$5),3),FAKT_C109,2,-1)),0)</f>
        <v>1602</v>
      </c>
      <c r="I55" s="179">
        <f>ROUND('BASE-C140'!G21*(VLOOKUP(ROUND(((($D$3+$D$4)/2)-$D$5),3),FAKT_C109,2,-1)),0)</f>
        <v>1673</v>
      </c>
      <c r="J55" s="179">
        <f>ROUND('BASE-C140'!H21*(VLOOKUP(ROUND(((($D$3+$D$4)/2)-$D$5),3),FAKT_C109,2,-1)),0)</f>
        <v>1961</v>
      </c>
      <c r="K55" s="180">
        <f>ROUND('BASE-C140'!I21*(VLOOKUP(ROUND(((($D$3+$D$4)/2)-$D$5),3),FAKT_C109,2,-1)),0)</f>
        <v>2218</v>
      </c>
    </row>
    <row r="56" spans="2:11" ht="12.75" customHeight="1" x14ac:dyDescent="0.2">
      <c r="B56" s="496"/>
      <c r="C56" s="496"/>
      <c r="D56" s="191">
        <f t="shared" ref="D56:K56" si="19">ROUNDDOWN(D55/(1.161*($D$3-$D$4)),0)</f>
        <v>65</v>
      </c>
      <c r="E56" s="181">
        <f t="shared" si="19"/>
        <v>81</v>
      </c>
      <c r="F56" s="181">
        <f t="shared" si="19"/>
        <v>109</v>
      </c>
      <c r="G56" s="181">
        <f t="shared" si="19"/>
        <v>122</v>
      </c>
      <c r="H56" s="181">
        <f t="shared" si="19"/>
        <v>137</v>
      </c>
      <c r="I56" s="181">
        <f t="shared" si="19"/>
        <v>144</v>
      </c>
      <c r="J56" s="181">
        <f t="shared" si="19"/>
        <v>168</v>
      </c>
      <c r="K56" s="182">
        <f t="shared" si="19"/>
        <v>191</v>
      </c>
    </row>
    <row r="57" spans="2:11" ht="10.15" customHeight="1" x14ac:dyDescent="0.2">
      <c r="B57" s="148"/>
      <c r="C57" s="148"/>
      <c r="K57" s="140"/>
    </row>
    <row r="58" spans="2:11" x14ac:dyDescent="0.2">
      <c r="B58" s="141" t="str">
        <f>VLOOKUP(36,TXT,$F$3,0)</f>
        <v>Angabe in Watt  pro Bodenkonvektor-Länge L [mm]</v>
      </c>
      <c r="K58" s="121" t="str">
        <f>VLOOKUP(16,TXT,$F$3,0)</f>
        <v>Wärmeleistungen in Anlehnung an EN 442-2</v>
      </c>
    </row>
    <row r="59" spans="2:11" x14ac:dyDescent="0.2">
      <c r="B59" s="141" t="str">
        <f>VLOOKUP(90,TXT,$F$3,0)</f>
        <v>Leistungsdaten mit Abdeckung, Rollrost Typ 941-17-B (f.Q. 70%)</v>
      </c>
      <c r="K59" s="121"/>
    </row>
    <row r="60" spans="2:11" x14ac:dyDescent="0.2">
      <c r="B60" s="141" t="str">
        <f>VLOOKUP(29,TXT,$F$3,0)</f>
        <v>Minimale Wassermassenströme von ca. 20 kg/h sollen eingehalten werden</v>
      </c>
      <c r="K60" s="122" t="s">
        <v>1050</v>
      </c>
    </row>
    <row r="61" spans="2:11" x14ac:dyDescent="0.2">
      <c r="B61" s="183"/>
      <c r="C61" s="120"/>
      <c r="F61" s="120"/>
    </row>
    <row r="62" spans="2:11" hidden="1" x14ac:dyDescent="0.2">
      <c r="B62" s="183"/>
      <c r="C62" s="120"/>
      <c r="F62" s="120"/>
    </row>
    <row r="63" spans="2:11" hidden="1" x14ac:dyDescent="0.2">
      <c r="B63" s="183"/>
      <c r="C63" s="120"/>
      <c r="F63" s="120"/>
    </row>
  </sheetData>
  <sheetProtection algorithmName="SHA-512" hashValue="K1Bkhz7Kfov3rlvC2DejiuarDRfcDRehOfxWLFqgIAEDm9rs8ue8Phi8LK9PHAKAl6bflxVUNZJki4KDAdX2BA==" saltValue="CdKHPE08E2JHCah7ZTzDaw==" spinCount="100000" sheet="1" objects="1" scenarios="1" selectLockedCells="1"/>
  <protectedRanges>
    <protectedRange sqref="F4:F5" name="Bereich1_1_1"/>
  </protectedRanges>
  <mergeCells count="38">
    <mergeCell ref="H16:K16"/>
    <mergeCell ref="B10:D10"/>
    <mergeCell ref="E10:G10"/>
    <mergeCell ref="H10:I10"/>
    <mergeCell ref="J10:K10"/>
    <mergeCell ref="B12:C12"/>
    <mergeCell ref="B13:C13"/>
    <mergeCell ref="B14:C14"/>
    <mergeCell ref="B16:C16"/>
    <mergeCell ref="D16:G16"/>
    <mergeCell ref="B39:C40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53:C54"/>
    <mergeCell ref="B55:C56"/>
    <mergeCell ref="B41:C42"/>
    <mergeCell ref="B43:C44"/>
    <mergeCell ref="B45:C46"/>
    <mergeCell ref="B47:C48"/>
    <mergeCell ref="B49:C50"/>
    <mergeCell ref="B51:C52"/>
    <mergeCell ref="F3:F5"/>
    <mergeCell ref="D2:E2"/>
    <mergeCell ref="B3:C3"/>
    <mergeCell ref="D3:E3"/>
    <mergeCell ref="B4:C4"/>
    <mergeCell ref="D4:E4"/>
    <mergeCell ref="B5:C5"/>
    <mergeCell ref="D5:E5"/>
  </mergeCells>
  <conditionalFormatting sqref="D3:D5">
    <cfRule type="expression" dxfId="55" priority="3">
      <formula>$I$4&lt;&gt;""</formula>
    </cfRule>
    <cfRule type="expression" dxfId="54" priority="4">
      <formula>$K$3&lt;&gt;""</formula>
    </cfRule>
  </conditionalFormatting>
  <conditionalFormatting sqref="D3:E5">
    <cfRule type="expression" dxfId="53" priority="1">
      <formula>$H$4&lt;&gt;""</formula>
    </cfRule>
  </conditionalFormatting>
  <conditionalFormatting sqref="D17:K17">
    <cfRule type="expression" dxfId="52" priority="82" stopIfTrue="1">
      <formula>D18&lt;20</formula>
    </cfRule>
  </conditionalFormatting>
  <conditionalFormatting sqref="D19:K19">
    <cfRule type="expression" dxfId="51" priority="81" stopIfTrue="1">
      <formula>D20&lt;20</formula>
    </cfRule>
  </conditionalFormatting>
  <conditionalFormatting sqref="D21:K21">
    <cfRule type="expression" dxfId="50" priority="61" stopIfTrue="1">
      <formula>D22&lt;20</formula>
    </cfRule>
  </conditionalFormatting>
  <conditionalFormatting sqref="D23:K23">
    <cfRule type="expression" dxfId="49" priority="79" stopIfTrue="1">
      <formula>D24&lt;20</formula>
    </cfRule>
  </conditionalFormatting>
  <conditionalFormatting sqref="D25:K25">
    <cfRule type="expression" dxfId="48" priority="59" stopIfTrue="1">
      <formula>D26&lt;20</formula>
    </cfRule>
  </conditionalFormatting>
  <conditionalFormatting sqref="D27:K27">
    <cfRule type="expression" dxfId="47" priority="77" stopIfTrue="1">
      <formula>D28&lt;20</formula>
    </cfRule>
  </conditionalFormatting>
  <conditionalFormatting sqref="D29:K29">
    <cfRule type="expression" dxfId="46" priority="57" stopIfTrue="1">
      <formula>D30&lt;20</formula>
    </cfRule>
  </conditionalFormatting>
  <conditionalFormatting sqref="D31:K31">
    <cfRule type="expression" dxfId="45" priority="75" stopIfTrue="1">
      <formula>D32&lt;20</formula>
    </cfRule>
  </conditionalFormatting>
  <conditionalFormatting sqref="D33:K33">
    <cfRule type="expression" dxfId="44" priority="55" stopIfTrue="1">
      <formula>D34&lt;20</formula>
    </cfRule>
  </conditionalFormatting>
  <conditionalFormatting sqref="D35:K35">
    <cfRule type="expression" dxfId="43" priority="73" stopIfTrue="1">
      <formula>D36&lt;20</formula>
    </cfRule>
  </conditionalFormatting>
  <conditionalFormatting sqref="D37:K37">
    <cfRule type="expression" dxfId="42" priority="53" stopIfTrue="1">
      <formula>D38&lt;20</formula>
    </cfRule>
  </conditionalFormatting>
  <conditionalFormatting sqref="D39:K39">
    <cfRule type="expression" dxfId="41" priority="71" stopIfTrue="1">
      <formula>D40&lt;20</formula>
    </cfRule>
  </conditionalFormatting>
  <conditionalFormatting sqref="D41:K41">
    <cfRule type="expression" dxfId="40" priority="51" stopIfTrue="1">
      <formula>D42&lt;20</formula>
    </cfRule>
  </conditionalFormatting>
  <conditionalFormatting sqref="D43:K43">
    <cfRule type="expression" dxfId="39" priority="69" stopIfTrue="1">
      <formula>D44&lt;20</formula>
    </cfRule>
  </conditionalFormatting>
  <conditionalFormatting sqref="D45:K45">
    <cfRule type="expression" dxfId="38" priority="49" stopIfTrue="1">
      <formula>D46&lt;20</formula>
    </cfRule>
  </conditionalFormatting>
  <conditionalFormatting sqref="D47:K47">
    <cfRule type="expression" dxfId="37" priority="67" stopIfTrue="1">
      <formula>D48&lt;20</formula>
    </cfRule>
  </conditionalFormatting>
  <conditionalFormatting sqref="D49:K49">
    <cfRule type="expression" dxfId="36" priority="47" stopIfTrue="1">
      <formula>D50&lt;20</formula>
    </cfRule>
  </conditionalFormatting>
  <conditionalFormatting sqref="D51:K51">
    <cfRule type="expression" dxfId="35" priority="65" stopIfTrue="1">
      <formula>D52&lt;20</formula>
    </cfRule>
  </conditionalFormatting>
  <conditionalFormatting sqref="D53:K53">
    <cfRule type="expression" dxfId="34" priority="45" stopIfTrue="1">
      <formula>D54&lt;20</formula>
    </cfRule>
  </conditionalFormatting>
  <conditionalFormatting sqref="D55:K55">
    <cfRule type="expression" dxfId="33" priority="63" stopIfTrue="1">
      <formula>D56&lt;20</formula>
    </cfRule>
  </conditionalFormatting>
  <dataValidations count="4">
    <dataValidation type="whole" allowBlank="1" showInputMessage="1" showErrorMessage="1" sqref="D3:E3" xr:uid="{C5FDD31F-AB5E-4100-9D5D-EF46D4161537}">
      <formula1>30</formula1>
      <formula2>90</formula2>
    </dataValidation>
    <dataValidation type="whole" allowBlank="1" showInputMessage="1" showErrorMessage="1" sqref="D4:E4" xr:uid="{EF6B3B2F-737B-468B-B181-4A048295A924}">
      <formula1>25</formula1>
      <formula2>85</formula2>
    </dataValidation>
    <dataValidation type="whole" allowBlank="1" showInputMessage="1" showErrorMessage="1" sqref="D5:E5" xr:uid="{42FA2CFD-2097-44B4-833F-68A3BDF40316}">
      <formula1>15</formula1>
      <formula2>29</formula2>
    </dataValidation>
    <dataValidation type="whole" allowBlank="1" showInputMessage="1" showErrorMessage="1" sqref="F3:F5" xr:uid="{3A3E7AE7-1AF4-4E06-87A3-561643F20472}">
      <formula1>2</formula1>
      <formula2>3</formula2>
    </dataValidation>
  </dataValidations>
  <pageMargins left="0.59055118110236227" right="0.39370078740157483" top="1.1811023622047245" bottom="0.78740157480314965" header="0.51181102362204722" footer="0.51181102362204722"/>
  <pageSetup paperSize="9" orientation="portrait" r:id="rId1"/>
  <headerFooter alignWithMargins="0">
    <oddHeader xml:space="preserve">&amp;C&amp;11&amp;G
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4" id="{109E0B39-9F41-402E-8BD2-7BADD5DD749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D18</xm:sqref>
        </x14:conditionalFormatting>
        <x14:conditionalFormatting xmlns:xm="http://schemas.microsoft.com/office/excel/2006/main">
          <x14:cfRule type="iconSet" priority="42" id="{DFE80538-99A6-4964-85E3-D71C265B1CB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D20</xm:sqref>
        </x14:conditionalFormatting>
        <x14:conditionalFormatting xmlns:xm="http://schemas.microsoft.com/office/excel/2006/main">
          <x14:cfRule type="iconSet" priority="22" id="{1B1344D4-7F97-4D98-9C30-4BFA37D85DF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D22</xm:sqref>
        </x14:conditionalFormatting>
        <x14:conditionalFormatting xmlns:xm="http://schemas.microsoft.com/office/excel/2006/main">
          <x14:cfRule type="iconSet" priority="40" id="{7FA4150D-D87F-4A2E-A61E-F15CFFAB429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D24</xm:sqref>
        </x14:conditionalFormatting>
        <x14:conditionalFormatting xmlns:xm="http://schemas.microsoft.com/office/excel/2006/main">
          <x14:cfRule type="iconSet" priority="20" id="{59E94A41-13EB-4F81-B8B8-99A016701ED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D26</xm:sqref>
        </x14:conditionalFormatting>
        <x14:conditionalFormatting xmlns:xm="http://schemas.microsoft.com/office/excel/2006/main">
          <x14:cfRule type="iconSet" priority="38" id="{E668B82A-1A7D-4AF8-8BD7-01E3E94C34B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D28</xm:sqref>
        </x14:conditionalFormatting>
        <x14:conditionalFormatting xmlns:xm="http://schemas.microsoft.com/office/excel/2006/main">
          <x14:cfRule type="iconSet" priority="18" id="{4FA9CB9D-60EF-49BB-9892-7BCFA75EBA9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D30</xm:sqref>
        </x14:conditionalFormatting>
        <x14:conditionalFormatting xmlns:xm="http://schemas.microsoft.com/office/excel/2006/main">
          <x14:cfRule type="iconSet" priority="36" id="{0FFE5C88-14FE-463D-B92D-A60CABAC3AB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D32</xm:sqref>
        </x14:conditionalFormatting>
        <x14:conditionalFormatting xmlns:xm="http://schemas.microsoft.com/office/excel/2006/main">
          <x14:cfRule type="iconSet" priority="16" id="{8A1D3612-F7CD-444B-B88F-87314D78AF1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D34</xm:sqref>
        </x14:conditionalFormatting>
        <x14:conditionalFormatting xmlns:xm="http://schemas.microsoft.com/office/excel/2006/main">
          <x14:cfRule type="iconSet" priority="34" id="{65862357-B248-407F-A6E5-EBB67126B37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D36</xm:sqref>
        </x14:conditionalFormatting>
        <x14:conditionalFormatting xmlns:xm="http://schemas.microsoft.com/office/excel/2006/main">
          <x14:cfRule type="iconSet" priority="14" id="{A313BB70-ED1C-48E2-9811-2794A44D055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D38</xm:sqref>
        </x14:conditionalFormatting>
        <x14:conditionalFormatting xmlns:xm="http://schemas.microsoft.com/office/excel/2006/main">
          <x14:cfRule type="iconSet" priority="32" id="{ADF79315-B936-48D8-BE75-F996BEBD74F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D40</xm:sqref>
        </x14:conditionalFormatting>
        <x14:conditionalFormatting xmlns:xm="http://schemas.microsoft.com/office/excel/2006/main">
          <x14:cfRule type="iconSet" priority="12" id="{9D882A75-F8C7-45C3-ADAC-DA0AFFF0E87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D42</xm:sqref>
        </x14:conditionalFormatting>
        <x14:conditionalFormatting xmlns:xm="http://schemas.microsoft.com/office/excel/2006/main">
          <x14:cfRule type="iconSet" priority="30" id="{276F5E31-9FF2-4CB0-9A9B-DDBD330D966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D44</xm:sqref>
        </x14:conditionalFormatting>
        <x14:conditionalFormatting xmlns:xm="http://schemas.microsoft.com/office/excel/2006/main">
          <x14:cfRule type="iconSet" priority="10" id="{2031898A-569A-43DC-8928-9711EB3B2DE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D46</xm:sqref>
        </x14:conditionalFormatting>
        <x14:conditionalFormatting xmlns:xm="http://schemas.microsoft.com/office/excel/2006/main">
          <x14:cfRule type="iconSet" priority="28" id="{B54731A5-EC93-4F5A-B54E-07633D538D3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D48</xm:sqref>
        </x14:conditionalFormatting>
        <x14:conditionalFormatting xmlns:xm="http://schemas.microsoft.com/office/excel/2006/main">
          <x14:cfRule type="iconSet" priority="8" id="{AADAAD95-7FB0-4FDC-AFBD-D1C4D31E79F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D50</xm:sqref>
        </x14:conditionalFormatting>
        <x14:conditionalFormatting xmlns:xm="http://schemas.microsoft.com/office/excel/2006/main">
          <x14:cfRule type="iconSet" priority="26" id="{51E1678C-6E8C-4056-84FA-9976FE12342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D52</xm:sqref>
        </x14:conditionalFormatting>
        <x14:conditionalFormatting xmlns:xm="http://schemas.microsoft.com/office/excel/2006/main">
          <x14:cfRule type="iconSet" priority="6" id="{A0ED0944-CD8A-46AA-BB98-3E688D3BB67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D54</xm:sqref>
        </x14:conditionalFormatting>
        <x14:conditionalFormatting xmlns:xm="http://schemas.microsoft.com/office/excel/2006/main">
          <x14:cfRule type="iconSet" priority="24" id="{07D320B2-59CF-4A73-BF1B-FC81AFF0E18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D56</xm:sqref>
        </x14:conditionalFormatting>
        <x14:conditionalFormatting xmlns:xm="http://schemas.microsoft.com/office/excel/2006/main">
          <x14:cfRule type="iconSet" priority="43" id="{982C66F1-8158-494D-8532-364D5937331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E18:K18</xm:sqref>
        </x14:conditionalFormatting>
        <x14:conditionalFormatting xmlns:xm="http://schemas.microsoft.com/office/excel/2006/main">
          <x14:cfRule type="iconSet" priority="41" id="{1D463FF1-5D94-4713-9BB7-9D902E0FEFC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E20:K20</xm:sqref>
        </x14:conditionalFormatting>
        <x14:conditionalFormatting xmlns:xm="http://schemas.microsoft.com/office/excel/2006/main">
          <x14:cfRule type="iconSet" priority="21" id="{F6E30A6C-1218-49CC-9F62-1BEF5C3E59E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E22:K22</xm:sqref>
        </x14:conditionalFormatting>
        <x14:conditionalFormatting xmlns:xm="http://schemas.microsoft.com/office/excel/2006/main">
          <x14:cfRule type="iconSet" priority="39" id="{478BECAF-0C4E-4219-8398-E42D101694E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E24:K24</xm:sqref>
        </x14:conditionalFormatting>
        <x14:conditionalFormatting xmlns:xm="http://schemas.microsoft.com/office/excel/2006/main">
          <x14:cfRule type="iconSet" priority="19" id="{3526F55E-F8F4-4C64-94DB-7D4E518AA7C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E26:K26</xm:sqref>
        </x14:conditionalFormatting>
        <x14:conditionalFormatting xmlns:xm="http://schemas.microsoft.com/office/excel/2006/main">
          <x14:cfRule type="iconSet" priority="37" id="{45C6833E-134D-4518-869B-CD4CD520776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E28:K28</xm:sqref>
        </x14:conditionalFormatting>
        <x14:conditionalFormatting xmlns:xm="http://schemas.microsoft.com/office/excel/2006/main">
          <x14:cfRule type="iconSet" priority="17" id="{3BF9BAA7-21D9-4DE3-A6DB-BD9FDF72CD2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E30:K30</xm:sqref>
        </x14:conditionalFormatting>
        <x14:conditionalFormatting xmlns:xm="http://schemas.microsoft.com/office/excel/2006/main">
          <x14:cfRule type="iconSet" priority="35" id="{3EDEBE6F-47E4-4752-A6A4-614B3B0E927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E32:K32</xm:sqref>
        </x14:conditionalFormatting>
        <x14:conditionalFormatting xmlns:xm="http://schemas.microsoft.com/office/excel/2006/main">
          <x14:cfRule type="iconSet" priority="15" id="{9D7F326B-344A-44B8-8E90-EDF042F34A0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E34:K34</xm:sqref>
        </x14:conditionalFormatting>
        <x14:conditionalFormatting xmlns:xm="http://schemas.microsoft.com/office/excel/2006/main">
          <x14:cfRule type="iconSet" priority="33" id="{983BDF31-E987-4A80-9F05-EDB2B813C14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E36:K36</xm:sqref>
        </x14:conditionalFormatting>
        <x14:conditionalFormatting xmlns:xm="http://schemas.microsoft.com/office/excel/2006/main">
          <x14:cfRule type="iconSet" priority="13" id="{7C7FBDD7-8FD7-46A4-AF54-EC623ACB332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E38:K38</xm:sqref>
        </x14:conditionalFormatting>
        <x14:conditionalFormatting xmlns:xm="http://schemas.microsoft.com/office/excel/2006/main">
          <x14:cfRule type="iconSet" priority="31" id="{9E895CD3-E53B-48BE-BBF3-9157706990F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E40:K40</xm:sqref>
        </x14:conditionalFormatting>
        <x14:conditionalFormatting xmlns:xm="http://schemas.microsoft.com/office/excel/2006/main">
          <x14:cfRule type="iconSet" priority="11" id="{C59CEA22-D96A-4790-8BFB-161DCB3E3B1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E42:K42</xm:sqref>
        </x14:conditionalFormatting>
        <x14:conditionalFormatting xmlns:xm="http://schemas.microsoft.com/office/excel/2006/main">
          <x14:cfRule type="iconSet" priority="29" id="{A4B63982-022D-4C99-8335-BBB6EA37379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E44:K44</xm:sqref>
        </x14:conditionalFormatting>
        <x14:conditionalFormatting xmlns:xm="http://schemas.microsoft.com/office/excel/2006/main">
          <x14:cfRule type="iconSet" priority="9" id="{7B1D48A4-8225-4F4B-9D27-37A2582FD26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E46:K46</xm:sqref>
        </x14:conditionalFormatting>
        <x14:conditionalFormatting xmlns:xm="http://schemas.microsoft.com/office/excel/2006/main">
          <x14:cfRule type="iconSet" priority="27" id="{B81C7BD3-619D-4302-B81B-5BED3CB60A1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E48:K48</xm:sqref>
        </x14:conditionalFormatting>
        <x14:conditionalFormatting xmlns:xm="http://schemas.microsoft.com/office/excel/2006/main">
          <x14:cfRule type="iconSet" priority="7" id="{D1CC1C3F-A0A2-421A-AF7F-3F1C106A747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E50:K50</xm:sqref>
        </x14:conditionalFormatting>
        <x14:conditionalFormatting xmlns:xm="http://schemas.microsoft.com/office/excel/2006/main">
          <x14:cfRule type="iconSet" priority="25" id="{4746882B-CA8E-4FFE-ADE0-41C9B08978B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E52:K52</xm:sqref>
        </x14:conditionalFormatting>
        <x14:conditionalFormatting xmlns:xm="http://schemas.microsoft.com/office/excel/2006/main">
          <x14:cfRule type="iconSet" priority="5" id="{0DE75FDA-2403-48DB-9B1B-FF0F321D948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E54:K54</xm:sqref>
        </x14:conditionalFormatting>
        <x14:conditionalFormatting xmlns:xm="http://schemas.microsoft.com/office/excel/2006/main">
          <x14:cfRule type="iconSet" priority="23" id="{EA54122C-ED9B-4D2A-AB15-D7B1893377E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E56:K56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64CA-0209-4119-B075-97E94EEAE686}">
  <dimension ref="A1:L63"/>
  <sheetViews>
    <sheetView workbookViewId="0">
      <selection activeCell="G3" sqref="G3:H3"/>
    </sheetView>
  </sheetViews>
  <sheetFormatPr baseColWidth="10" defaultColWidth="0" defaultRowHeight="12.75" zeroHeight="1" x14ac:dyDescent="0.2"/>
  <cols>
    <col min="1" max="1" width="2.7109375" style="101" customWidth="1"/>
    <col min="2" max="2" width="3" style="101" customWidth="1"/>
    <col min="3" max="3" width="6.7109375" style="140" customWidth="1"/>
    <col min="4" max="10" width="10.28515625" style="140" customWidth="1"/>
    <col min="11" max="11" width="10.28515625" style="101" customWidth="1"/>
    <col min="12" max="12" width="2.7109375" style="101" customWidth="1"/>
    <col min="13" max="16384" width="11.42578125" style="101" hidden="1"/>
  </cols>
  <sheetData>
    <row r="1" spans="2:12" x14ac:dyDescent="0.2"/>
    <row r="2" spans="2:12" ht="15" x14ac:dyDescent="0.25">
      <c r="B2"/>
      <c r="C2" s="101"/>
      <c r="D2" s="494" t="s">
        <v>936</v>
      </c>
      <c r="E2" s="494"/>
      <c r="F2" s="283" t="s">
        <v>938</v>
      </c>
    </row>
    <row r="3" spans="2:12" ht="23.25" x14ac:dyDescent="0.35">
      <c r="B3" s="453" t="s">
        <v>933</v>
      </c>
      <c r="C3" s="453"/>
      <c r="D3" s="495">
        <v>75</v>
      </c>
      <c r="E3" s="495"/>
      <c r="F3" s="432">
        <v>2</v>
      </c>
    </row>
    <row r="4" spans="2:12" ht="23.25" x14ac:dyDescent="0.35">
      <c r="B4" s="453" t="s">
        <v>934</v>
      </c>
      <c r="C4" s="453"/>
      <c r="D4" s="495">
        <v>65</v>
      </c>
      <c r="E4" s="495"/>
      <c r="F4" s="432"/>
      <c r="H4" s="287" t="str">
        <f>IF(OR((D3-D4)&lt;3,(D4-D5)&lt;3,(D3-D4)&gt;25,D5&lt;15,ISERROR(D17)),"Bitte überprüfen Sie ihre Eingaben!","")</f>
        <v/>
      </c>
    </row>
    <row r="5" spans="2:12" ht="23.25" x14ac:dyDescent="0.35">
      <c r="B5" s="453" t="s">
        <v>935</v>
      </c>
      <c r="C5" s="453"/>
      <c r="D5" s="495">
        <v>20</v>
      </c>
      <c r="E5" s="495"/>
      <c r="F5" s="432"/>
    </row>
    <row r="6" spans="2:12" x14ac:dyDescent="0.2"/>
    <row r="7" spans="2:12" ht="25.5" customHeight="1" x14ac:dyDescent="0.4">
      <c r="B7" s="184" t="str">
        <f>VLOOKUP(50,TXT,$F$3,0)</f>
        <v>Bodenkonvektor Modell LIB-190</v>
      </c>
      <c r="C7" s="185"/>
      <c r="D7" s="185"/>
      <c r="E7" s="185"/>
      <c r="F7" s="185"/>
      <c r="G7" s="185"/>
      <c r="H7" s="185"/>
      <c r="I7" s="185"/>
      <c r="J7" s="185"/>
      <c r="K7" s="185"/>
      <c r="L7" s="170"/>
    </row>
    <row r="8" spans="2:12" ht="17.25" customHeight="1" x14ac:dyDescent="0.4">
      <c r="B8" s="186" t="str">
        <f>VLOOKUP(47,TXT,$F$3,0)</f>
        <v>für freie Konvektion</v>
      </c>
      <c r="C8" s="186"/>
      <c r="D8" s="186"/>
      <c r="E8" s="186"/>
      <c r="F8" s="186"/>
      <c r="G8" s="186"/>
      <c r="H8" s="186"/>
      <c r="I8" s="186"/>
      <c r="J8" s="186"/>
      <c r="K8" s="186"/>
      <c r="L8" s="170"/>
    </row>
    <row r="9" spans="2:12" x14ac:dyDescent="0.2"/>
    <row r="10" spans="2:12" ht="23.25" x14ac:dyDescent="0.2">
      <c r="B10" s="499" t="str">
        <f>VLOOKUP(10,TXT,$F$3,0)</f>
        <v>Heizmedium</v>
      </c>
      <c r="C10" s="499"/>
      <c r="D10" s="499"/>
      <c r="E10" s="500" t="str">
        <f>CONCATENATE(D3,"° / ",D4," °C")</f>
        <v>75° / 65 °C</v>
      </c>
      <c r="F10" s="500"/>
      <c r="G10" s="500"/>
      <c r="H10" s="501">
        <f>SUM(D5)</f>
        <v>20</v>
      </c>
      <c r="I10" s="501"/>
      <c r="J10" s="502"/>
      <c r="K10" s="502"/>
    </row>
    <row r="11" spans="2:12" x14ac:dyDescent="0.2"/>
    <row r="12" spans="2:12" ht="17.25" customHeight="1" x14ac:dyDescent="0.25">
      <c r="B12" s="503" t="str">
        <f>VLOOKUP(9,TXT,$F$3,0)</f>
        <v>Modell</v>
      </c>
      <c r="C12" s="503"/>
      <c r="D12" s="173" t="s">
        <v>1397</v>
      </c>
      <c r="E12" s="173" t="s">
        <v>1387</v>
      </c>
      <c r="F12" s="173" t="s">
        <v>1388</v>
      </c>
      <c r="G12" s="173" t="s">
        <v>1389</v>
      </c>
      <c r="H12" s="173" t="s">
        <v>1390</v>
      </c>
      <c r="I12" s="173" t="s">
        <v>1391</v>
      </c>
      <c r="J12" s="173" t="s">
        <v>1392</v>
      </c>
      <c r="K12" s="173" t="s">
        <v>1393</v>
      </c>
    </row>
    <row r="13" spans="2:12" x14ac:dyDescent="0.2">
      <c r="B13" s="504" t="s">
        <v>1351</v>
      </c>
      <c r="C13" s="504"/>
      <c r="D13" s="187">
        <v>144</v>
      </c>
      <c r="E13" s="187">
        <v>176</v>
      </c>
      <c r="F13" s="187">
        <v>224</v>
      </c>
      <c r="G13" s="187">
        <v>240</v>
      </c>
      <c r="H13" s="187">
        <v>272</v>
      </c>
      <c r="I13" s="187">
        <v>304</v>
      </c>
      <c r="J13" s="187">
        <v>336</v>
      </c>
      <c r="K13" s="187">
        <v>368</v>
      </c>
    </row>
    <row r="14" spans="2:12" x14ac:dyDescent="0.2">
      <c r="B14" s="504" t="s">
        <v>1352</v>
      </c>
      <c r="C14" s="504"/>
      <c r="D14" s="187">
        <v>190</v>
      </c>
      <c r="E14" s="187">
        <v>190</v>
      </c>
      <c r="F14" s="187">
        <v>190</v>
      </c>
      <c r="G14" s="187">
        <v>190</v>
      </c>
      <c r="H14" s="187">
        <v>190</v>
      </c>
      <c r="I14" s="187">
        <v>190</v>
      </c>
      <c r="J14" s="187">
        <v>190</v>
      </c>
      <c r="K14" s="187">
        <v>190</v>
      </c>
    </row>
    <row r="15" spans="2:12" x14ac:dyDescent="0.2">
      <c r="B15" s="174"/>
      <c r="C15" s="174"/>
      <c r="D15" s="187" t="s">
        <v>1398</v>
      </c>
      <c r="E15" s="187" t="s">
        <v>1398</v>
      </c>
      <c r="F15" s="187" t="s">
        <v>1399</v>
      </c>
      <c r="G15" s="187" t="s">
        <v>1399</v>
      </c>
      <c r="H15" s="187" t="s">
        <v>1400</v>
      </c>
      <c r="I15" s="187" t="s">
        <v>1400</v>
      </c>
      <c r="J15" s="187" t="s">
        <v>1401</v>
      </c>
      <c r="K15" s="187" t="s">
        <v>1401</v>
      </c>
    </row>
    <row r="16" spans="2:12" ht="18.75" customHeight="1" x14ac:dyDescent="0.2">
      <c r="B16" s="504" t="s">
        <v>1356</v>
      </c>
      <c r="C16" s="504"/>
      <c r="D16" s="505" t="str">
        <f>VLOOKUP(13,TXT,$F$3,0)</f>
        <v>Leistungen [W]</v>
      </c>
      <c r="E16" s="497"/>
      <c r="F16" s="497"/>
      <c r="G16" s="497"/>
      <c r="H16" s="497" t="str">
        <f>VLOOKUP(45,TXT,$F$3,0)</f>
        <v>Wassermassenstrom [kg/h] *</v>
      </c>
      <c r="I16" s="497"/>
      <c r="J16" s="497"/>
      <c r="K16" s="498"/>
    </row>
    <row r="17" spans="2:11" ht="12.75" customHeight="1" x14ac:dyDescent="0.2">
      <c r="B17" s="484">
        <v>750</v>
      </c>
      <c r="C17" s="484"/>
      <c r="D17" s="188">
        <f>ROUND('BASE-C190'!B2*(VLOOKUP(ROUND(((($D$3+$D$4)/2)-$D$5),3),FAKT_C109,2,-1)),0)</f>
        <v>88</v>
      </c>
      <c r="E17" s="175">
        <f>ROUND('BASE-C190'!C2*(VLOOKUP(ROUND(((($D$3+$D$4)/2)-$D$5),3),FAKT_C109,2,-1)),0)</f>
        <v>110</v>
      </c>
      <c r="F17" s="175">
        <f>ROUND('BASE-C190'!D2*(VLOOKUP(ROUND(((($D$3+$D$4)/2)-$D$5),3),FAKT_C109,2,-1)),0)</f>
        <v>167</v>
      </c>
      <c r="G17" s="175">
        <f>ROUND('BASE-C190'!E2*(VLOOKUP(ROUND(((($D$3+$D$4)/2)-$D$5),3),FAKT_C109,2,-1)),0)</f>
        <v>176</v>
      </c>
      <c r="H17" s="175">
        <f>ROUND('BASE-C190'!F2*(VLOOKUP(ROUND(((($D$3+$D$4)/2)-$D$5),3),FAKT_C109,2,-1)),0)</f>
        <v>215</v>
      </c>
      <c r="I17" s="175">
        <f>ROUND('BASE-C190'!G2*(VLOOKUP(ROUND(((($D$3+$D$4)/2)-$D$5),3),FAKT_C109,2,-1)),0)</f>
        <v>229</v>
      </c>
      <c r="J17" s="175">
        <f>ROUND('BASE-C190'!H2*(VLOOKUP(ROUND(((($D$3+$D$4)/2)-$D$5),3),FAKT_C109,2,-1)),0)</f>
        <v>266</v>
      </c>
      <c r="K17" s="176">
        <f>ROUND('BASE-C190'!I2*(VLOOKUP(ROUND(((($D$3+$D$4)/2)-$D$5),3),FAKT_C109,2,-1)),0)</f>
        <v>306</v>
      </c>
    </row>
    <row r="18" spans="2:11" ht="12.75" customHeight="1" x14ac:dyDescent="0.2">
      <c r="B18" s="484"/>
      <c r="C18" s="484"/>
      <c r="D18" s="189">
        <f t="shared" ref="D18:K18" si="0">ROUNDDOWN(D17/(1.161*($D$3-$D$4)),0)</f>
        <v>7</v>
      </c>
      <c r="E18" s="177">
        <f t="shared" si="0"/>
        <v>9</v>
      </c>
      <c r="F18" s="177">
        <f t="shared" si="0"/>
        <v>14</v>
      </c>
      <c r="G18" s="177">
        <f t="shared" si="0"/>
        <v>15</v>
      </c>
      <c r="H18" s="177">
        <f t="shared" si="0"/>
        <v>18</v>
      </c>
      <c r="I18" s="177">
        <f t="shared" si="0"/>
        <v>19</v>
      </c>
      <c r="J18" s="177">
        <f t="shared" si="0"/>
        <v>22</v>
      </c>
      <c r="K18" s="178">
        <f t="shared" si="0"/>
        <v>26</v>
      </c>
    </row>
    <row r="19" spans="2:11" ht="12.75" customHeight="1" x14ac:dyDescent="0.2">
      <c r="B19" s="496">
        <v>850</v>
      </c>
      <c r="C19" s="496">
        <v>1000</v>
      </c>
      <c r="D19" s="190">
        <f>ROUND('BASE-C190'!B3*(VLOOKUP(ROUND(((($D$3+$D$4)/2)-$D$5),3),FAKT_C109,2,-1)),0)</f>
        <v>110</v>
      </c>
      <c r="E19" s="179">
        <f>ROUND('BASE-C190'!C3*(VLOOKUP(ROUND(((($D$3+$D$4)/2)-$D$5),3),FAKT_C109,2,-1)),0)</f>
        <v>137</v>
      </c>
      <c r="F19" s="179">
        <f>ROUND('BASE-C190'!D3*(VLOOKUP(ROUND(((($D$3+$D$4)/2)-$D$5),3),FAKT_C109,2,-1)),0)</f>
        <v>208</v>
      </c>
      <c r="G19" s="179">
        <f>ROUND('BASE-C190'!E3*(VLOOKUP(ROUND(((($D$3+$D$4)/2)-$D$5),3),FAKT_C109,2,-1)),0)</f>
        <v>221</v>
      </c>
      <c r="H19" s="179">
        <f>ROUND('BASE-C190'!F3*(VLOOKUP(ROUND(((($D$3+$D$4)/2)-$D$5),3),FAKT_C109,2,-1)),0)</f>
        <v>269</v>
      </c>
      <c r="I19" s="179">
        <f>ROUND('BASE-C190'!G3*(VLOOKUP(ROUND(((($D$3+$D$4)/2)-$D$5),3),FAKT_C109,2,-1)),0)</f>
        <v>286</v>
      </c>
      <c r="J19" s="179">
        <f>ROUND('BASE-C190'!H3*(VLOOKUP(ROUND(((($D$3+$D$4)/2)-$D$5),3),FAKT_C109,2,-1)),0)</f>
        <v>332</v>
      </c>
      <c r="K19" s="180">
        <f>ROUND('BASE-C190'!I3*(VLOOKUP(ROUND(((($D$3+$D$4)/2)-$D$5),3),FAKT_C109,2,-1)),0)</f>
        <v>382</v>
      </c>
    </row>
    <row r="20" spans="2:11" ht="12.75" customHeight="1" x14ac:dyDescent="0.2">
      <c r="B20" s="496"/>
      <c r="C20" s="496"/>
      <c r="D20" s="191">
        <f t="shared" ref="D20:K20" si="1">ROUNDDOWN(D19/(1.161*($D$3-$D$4)),0)</f>
        <v>9</v>
      </c>
      <c r="E20" s="181">
        <f t="shared" si="1"/>
        <v>11</v>
      </c>
      <c r="F20" s="181">
        <f t="shared" si="1"/>
        <v>17</v>
      </c>
      <c r="G20" s="181">
        <f t="shared" si="1"/>
        <v>19</v>
      </c>
      <c r="H20" s="181">
        <f t="shared" si="1"/>
        <v>23</v>
      </c>
      <c r="I20" s="181">
        <f t="shared" si="1"/>
        <v>24</v>
      </c>
      <c r="J20" s="181">
        <f t="shared" si="1"/>
        <v>28</v>
      </c>
      <c r="K20" s="182">
        <f t="shared" si="1"/>
        <v>32</v>
      </c>
    </row>
    <row r="21" spans="2:11" ht="12.75" customHeight="1" x14ac:dyDescent="0.2">
      <c r="B21" s="482">
        <v>950</v>
      </c>
      <c r="C21" s="482"/>
      <c r="D21" s="188">
        <f>ROUND('BASE-C190'!B4*(VLOOKUP(ROUND(((($D$3+$D$4)/2)-$D$5),3),FAKT_C109,2,-1)),0)</f>
        <v>132</v>
      </c>
      <c r="E21" s="175">
        <f>ROUND('BASE-C190'!C4*(VLOOKUP(ROUND(((($D$3+$D$4)/2)-$D$5),3),FAKT_C109,2,-1)),0)</f>
        <v>165</v>
      </c>
      <c r="F21" s="175">
        <f>ROUND('BASE-C190'!D4*(VLOOKUP(ROUND(((($D$3+$D$4)/2)-$D$5),3),FAKT_C109,2,-1)),0)</f>
        <v>250</v>
      </c>
      <c r="G21" s="175">
        <f>ROUND('BASE-C190'!E4*(VLOOKUP(ROUND(((($D$3+$D$4)/2)-$D$5),3),FAKT_C109,2,-1)),0)</f>
        <v>265</v>
      </c>
      <c r="H21" s="175">
        <f>ROUND('BASE-C190'!F4*(VLOOKUP(ROUND(((($D$3+$D$4)/2)-$D$5),3),FAKT_C109,2,-1)),0)</f>
        <v>322</v>
      </c>
      <c r="I21" s="175">
        <f>ROUND('BASE-C190'!G4*(VLOOKUP(ROUND(((($D$3+$D$4)/2)-$D$5),3),FAKT_C109,2,-1)),0)</f>
        <v>342</v>
      </c>
      <c r="J21" s="175">
        <f>ROUND('BASE-C190'!H4*(VLOOKUP(ROUND(((($D$3+$D$4)/2)-$D$5),3),FAKT_C109,2,-1)),0)</f>
        <v>399</v>
      </c>
      <c r="K21" s="176">
        <f>ROUND('BASE-C190'!I4*(VLOOKUP(ROUND(((($D$3+$D$4)/2)-$D$5),3),FAKT_C109,2,-1)),0)</f>
        <v>459</v>
      </c>
    </row>
    <row r="22" spans="2:11" ht="12.75" customHeight="1" x14ac:dyDescent="0.2">
      <c r="B22" s="482"/>
      <c r="C22" s="482"/>
      <c r="D22" s="189">
        <f t="shared" ref="D22:K22" si="2">ROUNDDOWN(D21/(1.161*($D$3-$D$4)),0)</f>
        <v>11</v>
      </c>
      <c r="E22" s="177">
        <f t="shared" si="2"/>
        <v>14</v>
      </c>
      <c r="F22" s="177">
        <f t="shared" si="2"/>
        <v>21</v>
      </c>
      <c r="G22" s="177">
        <f t="shared" si="2"/>
        <v>22</v>
      </c>
      <c r="H22" s="177">
        <f t="shared" si="2"/>
        <v>27</v>
      </c>
      <c r="I22" s="177">
        <f t="shared" si="2"/>
        <v>29</v>
      </c>
      <c r="J22" s="177">
        <f t="shared" si="2"/>
        <v>34</v>
      </c>
      <c r="K22" s="178">
        <f t="shared" si="2"/>
        <v>39</v>
      </c>
    </row>
    <row r="23" spans="2:11" ht="12.75" customHeight="1" x14ac:dyDescent="0.2">
      <c r="B23" s="496">
        <v>1050</v>
      </c>
      <c r="C23" s="496"/>
      <c r="D23" s="190">
        <f>ROUND('BASE-C190'!B5*(VLOOKUP(ROUND(((($D$3+$D$4)/2)-$D$5),3),FAKT_C109,2,-1)),0)</f>
        <v>154</v>
      </c>
      <c r="E23" s="179">
        <f>ROUND('BASE-C190'!C5*(VLOOKUP(ROUND(((($D$3+$D$4)/2)-$D$5),3),FAKT_C109,2,-1)),0)</f>
        <v>192</v>
      </c>
      <c r="F23" s="179">
        <f>ROUND('BASE-C190'!D5*(VLOOKUP(ROUND(((($D$3+$D$4)/2)-$D$5),3),FAKT_C109,2,-1)),0)</f>
        <v>292</v>
      </c>
      <c r="G23" s="179">
        <f>ROUND('BASE-C190'!E5*(VLOOKUP(ROUND(((($D$3+$D$4)/2)-$D$5),3),FAKT_C109,2,-1)),0)</f>
        <v>309</v>
      </c>
      <c r="H23" s="179">
        <f>ROUND('BASE-C190'!F5*(VLOOKUP(ROUND(((($D$3+$D$4)/2)-$D$5),3),FAKT_C109,2,-1)),0)</f>
        <v>376</v>
      </c>
      <c r="I23" s="179">
        <f>ROUND('BASE-C190'!G5*(VLOOKUP(ROUND(((($D$3+$D$4)/2)-$D$5),3),FAKT_C109,2,-1)),0)</f>
        <v>399</v>
      </c>
      <c r="J23" s="179">
        <f>ROUND('BASE-C190'!H5*(VLOOKUP(ROUND(((($D$3+$D$4)/2)-$D$5),3),FAKT_C109,2,-1)),0)</f>
        <v>465</v>
      </c>
      <c r="K23" s="180">
        <f>ROUND('BASE-C190'!I5*(VLOOKUP(ROUND(((($D$3+$D$4)/2)-$D$5),3),FAKT_C109,2,-1)),0)</f>
        <v>535</v>
      </c>
    </row>
    <row r="24" spans="2:11" ht="12.75" customHeight="1" x14ac:dyDescent="0.2">
      <c r="B24" s="496"/>
      <c r="C24" s="496"/>
      <c r="D24" s="191">
        <f t="shared" ref="D24:K24" si="3">ROUNDDOWN(D23/(1.161*($D$3-$D$4)),0)</f>
        <v>13</v>
      </c>
      <c r="E24" s="181">
        <f t="shared" si="3"/>
        <v>16</v>
      </c>
      <c r="F24" s="181">
        <f t="shared" si="3"/>
        <v>25</v>
      </c>
      <c r="G24" s="181">
        <f t="shared" si="3"/>
        <v>26</v>
      </c>
      <c r="H24" s="181">
        <f t="shared" si="3"/>
        <v>32</v>
      </c>
      <c r="I24" s="181">
        <f t="shared" si="3"/>
        <v>34</v>
      </c>
      <c r="J24" s="181">
        <f t="shared" si="3"/>
        <v>40</v>
      </c>
      <c r="K24" s="182">
        <f t="shared" si="3"/>
        <v>46</v>
      </c>
    </row>
    <row r="25" spans="2:11" ht="12.75" customHeight="1" x14ac:dyDescent="0.2">
      <c r="B25" s="482">
        <v>1150</v>
      </c>
      <c r="C25" s="482"/>
      <c r="D25" s="188">
        <f>ROUND('BASE-C190'!B6*(VLOOKUP(ROUND(((($D$3+$D$4)/2)-$D$5),3),FAKT_C109,2,-1)),0)</f>
        <v>176</v>
      </c>
      <c r="E25" s="175">
        <f>ROUND('BASE-C190'!C6*(VLOOKUP(ROUND(((($D$3+$D$4)/2)-$D$5),3),FAKT_C109,2,-1)),0)</f>
        <v>220</v>
      </c>
      <c r="F25" s="175">
        <f>ROUND('BASE-C190'!D6*(VLOOKUP(ROUND(((($D$3+$D$4)/2)-$D$5),3),FAKT_C109,2,-1)),0)</f>
        <v>333</v>
      </c>
      <c r="G25" s="175">
        <f>ROUND('BASE-C190'!E6*(VLOOKUP(ROUND(((($D$3+$D$4)/2)-$D$5),3),FAKT_C109,2,-1)),0)</f>
        <v>353</v>
      </c>
      <c r="H25" s="175">
        <f>ROUND('BASE-C190'!F6*(VLOOKUP(ROUND(((($D$3+$D$4)/2)-$D$5),3),FAKT_C109,2,-1)),0)</f>
        <v>429</v>
      </c>
      <c r="I25" s="175">
        <f>ROUND('BASE-C190'!G6*(VLOOKUP(ROUND(((($D$3+$D$4)/2)-$D$5),3),FAKT_C109,2,-1)),0)</f>
        <v>456</v>
      </c>
      <c r="J25" s="175">
        <f>ROUND('BASE-C190'!H6*(VLOOKUP(ROUND(((($D$3+$D$4)/2)-$D$5),3),FAKT_C109,2,-1)),0)</f>
        <v>531</v>
      </c>
      <c r="K25" s="176">
        <f>ROUND('BASE-C190'!I6*(VLOOKUP(ROUND(((($D$3+$D$4)/2)-$D$5),3),FAKT_C109,2,-1)),0)</f>
        <v>612</v>
      </c>
    </row>
    <row r="26" spans="2:11" ht="12.75" customHeight="1" x14ac:dyDescent="0.2">
      <c r="B26" s="482"/>
      <c r="C26" s="482"/>
      <c r="D26" s="189">
        <f t="shared" ref="D26:K26" si="4">ROUNDDOWN(D25/(1.161*($D$3-$D$4)),0)</f>
        <v>15</v>
      </c>
      <c r="E26" s="177">
        <f t="shared" si="4"/>
        <v>18</v>
      </c>
      <c r="F26" s="177">
        <f t="shared" si="4"/>
        <v>28</v>
      </c>
      <c r="G26" s="177">
        <f t="shared" si="4"/>
        <v>30</v>
      </c>
      <c r="H26" s="177">
        <f t="shared" si="4"/>
        <v>36</v>
      </c>
      <c r="I26" s="177">
        <f t="shared" si="4"/>
        <v>39</v>
      </c>
      <c r="J26" s="177">
        <f t="shared" si="4"/>
        <v>45</v>
      </c>
      <c r="K26" s="178">
        <f t="shared" si="4"/>
        <v>52</v>
      </c>
    </row>
    <row r="27" spans="2:11" ht="12.75" customHeight="1" x14ac:dyDescent="0.2">
      <c r="B27" s="496">
        <v>1250</v>
      </c>
      <c r="C27" s="496"/>
      <c r="D27" s="190">
        <f>ROUND('BASE-C190'!B7*(VLOOKUP(ROUND(((($D$3+$D$4)/2)-$D$5),3),FAKT_C109,2,-1)),0)</f>
        <v>198</v>
      </c>
      <c r="E27" s="179">
        <f>ROUND('BASE-C190'!C7*(VLOOKUP(ROUND(((($D$3+$D$4)/2)-$D$5),3),FAKT_C109,2,-1)),0)</f>
        <v>247</v>
      </c>
      <c r="F27" s="179">
        <f>ROUND('BASE-C190'!D7*(VLOOKUP(ROUND(((($D$3+$D$4)/2)-$D$5),3),FAKT_C109,2,-1)),0)</f>
        <v>375</v>
      </c>
      <c r="G27" s="179">
        <f>ROUND('BASE-C190'!E7*(VLOOKUP(ROUND(((($D$3+$D$4)/2)-$D$5),3),FAKT_C109,2,-1)),0)</f>
        <v>397</v>
      </c>
      <c r="H27" s="179">
        <f>ROUND('BASE-C190'!F7*(VLOOKUP(ROUND(((($D$3+$D$4)/2)-$D$5),3),FAKT_C109,2,-1)),0)</f>
        <v>483</v>
      </c>
      <c r="I27" s="179">
        <f>ROUND('BASE-C190'!G7*(VLOOKUP(ROUND(((($D$3+$D$4)/2)-$D$5),3),FAKT_C109,2,-1)),0)</f>
        <v>513</v>
      </c>
      <c r="J27" s="179">
        <f>ROUND('BASE-C190'!H7*(VLOOKUP(ROUND(((($D$3+$D$4)/2)-$D$5),3),FAKT_C109,2,-1)),0)</f>
        <v>598</v>
      </c>
      <c r="K27" s="180">
        <f>ROUND('BASE-C190'!I7*(VLOOKUP(ROUND(((($D$3+$D$4)/2)-$D$5),3),FAKT_C109,2,-1)),0)</f>
        <v>688</v>
      </c>
    </row>
    <row r="28" spans="2:11" ht="12.75" customHeight="1" x14ac:dyDescent="0.2">
      <c r="B28" s="496"/>
      <c r="C28" s="496"/>
      <c r="D28" s="191">
        <f t="shared" ref="D28:K28" si="5">ROUNDDOWN(D27/(1.161*($D$3-$D$4)),0)</f>
        <v>17</v>
      </c>
      <c r="E28" s="181">
        <f t="shared" si="5"/>
        <v>21</v>
      </c>
      <c r="F28" s="181">
        <f t="shared" si="5"/>
        <v>32</v>
      </c>
      <c r="G28" s="181">
        <f t="shared" si="5"/>
        <v>34</v>
      </c>
      <c r="H28" s="181">
        <f t="shared" si="5"/>
        <v>41</v>
      </c>
      <c r="I28" s="181">
        <f t="shared" si="5"/>
        <v>44</v>
      </c>
      <c r="J28" s="181">
        <f t="shared" si="5"/>
        <v>51</v>
      </c>
      <c r="K28" s="182">
        <f t="shared" si="5"/>
        <v>59</v>
      </c>
    </row>
    <row r="29" spans="2:11" ht="12.75" customHeight="1" x14ac:dyDescent="0.2">
      <c r="B29" s="482">
        <v>1350</v>
      </c>
      <c r="C29" s="482"/>
      <c r="D29" s="188">
        <f>ROUND('BASE-C190'!B8*(VLOOKUP(ROUND(((($D$3+$D$4)/2)-$D$5),3),FAKT_C109,2,-1)),0)</f>
        <v>220</v>
      </c>
      <c r="E29" s="175">
        <f>ROUND('BASE-C190'!C8*(VLOOKUP(ROUND(((($D$3+$D$4)/2)-$D$5),3),FAKT_C109,2,-1)),0)</f>
        <v>274</v>
      </c>
      <c r="F29" s="175">
        <f>ROUND('BASE-C190'!D8*(VLOOKUP(ROUND(((($D$3+$D$4)/2)-$D$5),3),FAKT_C109,2,-1)),0)</f>
        <v>416</v>
      </c>
      <c r="G29" s="175">
        <f>ROUND('BASE-C190'!E8*(VLOOKUP(ROUND(((($D$3+$D$4)/2)-$D$5),3),FAKT_C109,2,-1)),0)</f>
        <v>440</v>
      </c>
      <c r="H29" s="175">
        <f>ROUND('BASE-C190'!F8*(VLOOKUP(ROUND(((($D$3+$D$4)/2)-$D$5),3),FAKT_C109,2,-1)),0)</f>
        <v>536</v>
      </c>
      <c r="I29" s="175">
        <f>ROUND('BASE-C190'!G8*(VLOOKUP(ROUND(((($D$3+$D$4)/2)-$D$5),3),FAKT_C109,2,-1)),0)</f>
        <v>569</v>
      </c>
      <c r="J29" s="175">
        <f>ROUND('BASE-C190'!H8*(VLOOKUP(ROUND(((($D$3+$D$4)/2)-$D$5),3),FAKT_C109,2,-1)),0)</f>
        <v>664</v>
      </c>
      <c r="K29" s="176">
        <f>ROUND('BASE-C190'!I8*(VLOOKUP(ROUND(((($D$3+$D$4)/2)-$D$5),3),FAKT_C109,2,-1)),0)</f>
        <v>764</v>
      </c>
    </row>
    <row r="30" spans="2:11" ht="12.75" customHeight="1" x14ac:dyDescent="0.2">
      <c r="B30" s="482"/>
      <c r="C30" s="482"/>
      <c r="D30" s="189">
        <f t="shared" ref="D30:K30" si="6">ROUNDDOWN(D29/(1.161*($D$3-$D$4)),0)</f>
        <v>18</v>
      </c>
      <c r="E30" s="177">
        <f t="shared" si="6"/>
        <v>23</v>
      </c>
      <c r="F30" s="177">
        <f t="shared" si="6"/>
        <v>35</v>
      </c>
      <c r="G30" s="177">
        <f t="shared" si="6"/>
        <v>37</v>
      </c>
      <c r="H30" s="177">
        <f t="shared" si="6"/>
        <v>46</v>
      </c>
      <c r="I30" s="177">
        <f t="shared" si="6"/>
        <v>49</v>
      </c>
      <c r="J30" s="177">
        <f t="shared" si="6"/>
        <v>57</v>
      </c>
      <c r="K30" s="178">
        <f t="shared" si="6"/>
        <v>65</v>
      </c>
    </row>
    <row r="31" spans="2:11" ht="12.75" customHeight="1" x14ac:dyDescent="0.2">
      <c r="B31" s="496">
        <v>1550</v>
      </c>
      <c r="C31" s="496"/>
      <c r="D31" s="190">
        <f>ROUND('BASE-C190'!B9*(VLOOKUP(ROUND(((($D$3+$D$4)/2)-$D$5),3),FAKT_C109,2,-1)),0)</f>
        <v>264</v>
      </c>
      <c r="E31" s="179">
        <f>ROUND('BASE-C190'!C9*(VLOOKUP(ROUND(((($D$3+$D$4)/2)-$D$5),3),FAKT_C109,2,-1)),0)</f>
        <v>329</v>
      </c>
      <c r="F31" s="179">
        <f>ROUND('BASE-C190'!D9*(VLOOKUP(ROUND(((($D$3+$D$4)/2)-$D$5),3),FAKT_C109,2,-1)),0)</f>
        <v>499</v>
      </c>
      <c r="G31" s="179">
        <f>ROUND('BASE-C190'!E9*(VLOOKUP(ROUND(((($D$3+$D$4)/2)-$D$5),3),FAKT_C109,2,-1)),0)</f>
        <v>528</v>
      </c>
      <c r="H31" s="179">
        <f>ROUND('BASE-C190'!F9*(VLOOKUP(ROUND(((($D$3+$D$4)/2)-$D$5),3),FAKT_C109,2,-1)),0)</f>
        <v>644</v>
      </c>
      <c r="I31" s="179">
        <f>ROUND('BASE-C190'!G9*(VLOOKUP(ROUND(((($D$3+$D$4)/2)-$D$5),3),FAKT_C109,2,-1)),0)</f>
        <v>684</v>
      </c>
      <c r="J31" s="179">
        <f>ROUND('BASE-C190'!H9*(VLOOKUP(ROUND(((($D$3+$D$4)/2)-$D$5),3),FAKT_C109,2,-1)),0)</f>
        <v>796</v>
      </c>
      <c r="K31" s="180">
        <f>ROUND('BASE-C190'!I9*(VLOOKUP(ROUND(((($D$3+$D$4)/2)-$D$5),3),FAKT_C109,2,-1)),0)</f>
        <v>916</v>
      </c>
    </row>
    <row r="32" spans="2:11" ht="12.75" customHeight="1" x14ac:dyDescent="0.2">
      <c r="B32" s="496"/>
      <c r="C32" s="496"/>
      <c r="D32" s="191">
        <f t="shared" ref="D32:K32" si="7">ROUNDDOWN(D31/(1.161*($D$3-$D$4)),0)</f>
        <v>22</v>
      </c>
      <c r="E32" s="181">
        <f t="shared" si="7"/>
        <v>28</v>
      </c>
      <c r="F32" s="181">
        <f t="shared" si="7"/>
        <v>42</v>
      </c>
      <c r="G32" s="181">
        <f t="shared" si="7"/>
        <v>45</v>
      </c>
      <c r="H32" s="181">
        <f t="shared" si="7"/>
        <v>55</v>
      </c>
      <c r="I32" s="181">
        <f t="shared" si="7"/>
        <v>58</v>
      </c>
      <c r="J32" s="181">
        <f t="shared" si="7"/>
        <v>68</v>
      </c>
      <c r="K32" s="182">
        <f t="shared" si="7"/>
        <v>78</v>
      </c>
    </row>
    <row r="33" spans="2:11" ht="12.75" customHeight="1" x14ac:dyDescent="0.2">
      <c r="B33" s="482">
        <v>1750</v>
      </c>
      <c r="C33" s="482"/>
      <c r="D33" s="188">
        <f>ROUND('BASE-C190'!B10*(VLOOKUP(ROUND(((($D$3+$D$4)/2)-$D$5),3),FAKT_C109,2,-1)),0)</f>
        <v>308</v>
      </c>
      <c r="E33" s="175">
        <f>ROUND('BASE-C190'!C10*(VLOOKUP(ROUND(((($D$3+$D$4)/2)-$D$5),3),FAKT_C109,2,-1)),0)</f>
        <v>384</v>
      </c>
      <c r="F33" s="175">
        <f>ROUND('BASE-C190'!D10*(VLOOKUP(ROUND(((($D$3+$D$4)/2)-$D$5),3),FAKT_C109,2,-1)),0)</f>
        <v>582</v>
      </c>
      <c r="G33" s="175">
        <f>ROUND('BASE-C190'!E10*(VLOOKUP(ROUND(((($D$3+$D$4)/2)-$D$5),3),FAKT_C109,2,-1)),0)</f>
        <v>617</v>
      </c>
      <c r="H33" s="175">
        <f>ROUND('BASE-C190'!F10*(VLOOKUP(ROUND(((($D$3+$D$4)/2)-$D$5),3),FAKT_C109,2,-1)),0)</f>
        <v>751</v>
      </c>
      <c r="I33" s="175">
        <f>ROUND('BASE-C190'!G10*(VLOOKUP(ROUND(((($D$3+$D$4)/2)-$D$5),3),FAKT_C109,2,-1)),0)</f>
        <v>797</v>
      </c>
      <c r="J33" s="175">
        <f>ROUND('BASE-C190'!H10*(VLOOKUP(ROUND(((($D$3+$D$4)/2)-$D$5),3),FAKT_C109,2,-1)),0)</f>
        <v>929</v>
      </c>
      <c r="K33" s="176">
        <f>ROUND('BASE-C190'!I10*(VLOOKUP(ROUND(((($D$3+$D$4)/2)-$D$5),3),FAKT_C109,2,-1)),0)</f>
        <v>1069</v>
      </c>
    </row>
    <row r="34" spans="2:11" ht="12.75" customHeight="1" x14ac:dyDescent="0.2">
      <c r="B34" s="482"/>
      <c r="C34" s="482"/>
      <c r="D34" s="189">
        <f t="shared" ref="D34:K34" si="8">ROUNDDOWN(D33/(1.161*($D$3-$D$4)),0)</f>
        <v>26</v>
      </c>
      <c r="E34" s="177">
        <f t="shared" si="8"/>
        <v>33</v>
      </c>
      <c r="F34" s="177">
        <f t="shared" si="8"/>
        <v>50</v>
      </c>
      <c r="G34" s="177">
        <f t="shared" si="8"/>
        <v>53</v>
      </c>
      <c r="H34" s="177">
        <f t="shared" si="8"/>
        <v>64</v>
      </c>
      <c r="I34" s="177">
        <f t="shared" si="8"/>
        <v>68</v>
      </c>
      <c r="J34" s="177">
        <f t="shared" si="8"/>
        <v>80</v>
      </c>
      <c r="K34" s="178">
        <f t="shared" si="8"/>
        <v>92</v>
      </c>
    </row>
    <row r="35" spans="2:11" ht="12.75" customHeight="1" x14ac:dyDescent="0.2">
      <c r="B35" s="496">
        <v>1950</v>
      </c>
      <c r="C35" s="496"/>
      <c r="D35" s="190">
        <f>ROUND('BASE-C190'!B11*(VLOOKUP(ROUND(((($D$3+$D$4)/2)-$D$5),3),FAKT_C109,2,-1)),0)</f>
        <v>352</v>
      </c>
      <c r="E35" s="179">
        <f>ROUND('BASE-C190'!C11*(VLOOKUP(ROUND(((($D$3+$D$4)/2)-$D$5),3),FAKT_C109,2,-1)),0)</f>
        <v>438</v>
      </c>
      <c r="F35" s="179">
        <f>ROUND('BASE-C190'!D11*(VLOOKUP(ROUND(((($D$3+$D$4)/2)-$D$5),3),FAKT_C109,2,-1)),0)</f>
        <v>665</v>
      </c>
      <c r="G35" s="179">
        <f>ROUND('BASE-C190'!E11*(VLOOKUP(ROUND(((($D$3+$D$4)/2)-$D$5),3),FAKT_C109,2,-1)),0)</f>
        <v>704</v>
      </c>
      <c r="H35" s="179">
        <f>ROUND('BASE-C190'!F11*(VLOOKUP(ROUND(((($D$3+$D$4)/2)-$D$5),3),FAKT_C109,2,-1)),0)</f>
        <v>858</v>
      </c>
      <c r="I35" s="179">
        <f>ROUND('BASE-C190'!G11*(VLOOKUP(ROUND(((($D$3+$D$4)/2)-$D$5),3),FAKT_C109,2,-1)),0)</f>
        <v>911</v>
      </c>
      <c r="J35" s="179">
        <f>ROUND('BASE-C190'!H11*(VLOOKUP(ROUND(((($D$3+$D$4)/2)-$D$5),3),FAKT_C109,2,-1)),0)</f>
        <v>1062</v>
      </c>
      <c r="K35" s="180">
        <f>ROUND('BASE-C190'!I11*(VLOOKUP(ROUND(((($D$3+$D$4)/2)-$D$5),3),FAKT_C109,2,-1)),0)</f>
        <v>1222</v>
      </c>
    </row>
    <row r="36" spans="2:11" ht="12.75" customHeight="1" x14ac:dyDescent="0.2">
      <c r="B36" s="496"/>
      <c r="C36" s="496"/>
      <c r="D36" s="191">
        <f t="shared" ref="D36:K36" si="9">ROUNDDOWN(D35/(1.161*($D$3-$D$4)),0)</f>
        <v>30</v>
      </c>
      <c r="E36" s="181">
        <f t="shared" si="9"/>
        <v>37</v>
      </c>
      <c r="F36" s="181">
        <f t="shared" si="9"/>
        <v>57</v>
      </c>
      <c r="G36" s="181">
        <f t="shared" si="9"/>
        <v>60</v>
      </c>
      <c r="H36" s="181">
        <f t="shared" si="9"/>
        <v>73</v>
      </c>
      <c r="I36" s="181">
        <f t="shared" si="9"/>
        <v>78</v>
      </c>
      <c r="J36" s="181">
        <f t="shared" si="9"/>
        <v>91</v>
      </c>
      <c r="K36" s="182">
        <f t="shared" si="9"/>
        <v>105</v>
      </c>
    </row>
    <row r="37" spans="2:11" ht="12.75" customHeight="1" x14ac:dyDescent="0.2">
      <c r="B37" s="482">
        <v>2150</v>
      </c>
      <c r="C37" s="482"/>
      <c r="D37" s="188">
        <f>ROUND('BASE-C190'!B12*(VLOOKUP(ROUND(((($D$3+$D$4)/2)-$D$5),3),FAKT_C109,2,-1)),0)</f>
        <v>396</v>
      </c>
      <c r="E37" s="175">
        <f>ROUND('BASE-C190'!C12*(VLOOKUP(ROUND(((($D$3+$D$4)/2)-$D$5),3),FAKT_C109,2,-1)),0)</f>
        <v>493</v>
      </c>
      <c r="F37" s="175">
        <f>ROUND('BASE-C190'!D12*(VLOOKUP(ROUND(((($D$3+$D$4)/2)-$D$5),3),FAKT_C109,2,-1)),0)</f>
        <v>749</v>
      </c>
      <c r="G37" s="175">
        <f>ROUND('BASE-C190'!E12*(VLOOKUP(ROUND(((($D$3+$D$4)/2)-$D$5),3),FAKT_C109,2,-1)),0)</f>
        <v>793</v>
      </c>
      <c r="H37" s="175">
        <f>ROUND('BASE-C190'!F12*(VLOOKUP(ROUND(((($D$3+$D$4)/2)-$D$5),3),FAKT_C109,2,-1)),0)</f>
        <v>966</v>
      </c>
      <c r="I37" s="175">
        <f>ROUND('BASE-C190'!G12*(VLOOKUP(ROUND(((($D$3+$D$4)/2)-$D$5),3),FAKT_C109,2,-1)),0)</f>
        <v>1025</v>
      </c>
      <c r="J37" s="175">
        <f>ROUND('BASE-C190'!H12*(VLOOKUP(ROUND(((($D$3+$D$4)/2)-$D$5),3),FAKT_C109,2,-1)),0)</f>
        <v>1195</v>
      </c>
      <c r="K37" s="176">
        <f>ROUND('BASE-C190'!I12*(VLOOKUP(ROUND(((($D$3+$D$4)/2)-$D$5),3),FAKT_C109,2,-1)),0)</f>
        <v>1375</v>
      </c>
    </row>
    <row r="38" spans="2:11" ht="12.75" customHeight="1" x14ac:dyDescent="0.2">
      <c r="B38" s="482"/>
      <c r="C38" s="482"/>
      <c r="D38" s="189">
        <f t="shared" ref="D38:K38" si="10">ROUNDDOWN(D37/(1.161*($D$3-$D$4)),0)</f>
        <v>34</v>
      </c>
      <c r="E38" s="177">
        <f t="shared" si="10"/>
        <v>42</v>
      </c>
      <c r="F38" s="177">
        <f t="shared" si="10"/>
        <v>64</v>
      </c>
      <c r="G38" s="177">
        <f t="shared" si="10"/>
        <v>68</v>
      </c>
      <c r="H38" s="177">
        <f t="shared" si="10"/>
        <v>83</v>
      </c>
      <c r="I38" s="177">
        <f t="shared" si="10"/>
        <v>88</v>
      </c>
      <c r="J38" s="177">
        <f t="shared" si="10"/>
        <v>102</v>
      </c>
      <c r="K38" s="178">
        <f t="shared" si="10"/>
        <v>118</v>
      </c>
    </row>
    <row r="39" spans="2:11" ht="12.75" customHeight="1" x14ac:dyDescent="0.2">
      <c r="B39" s="496">
        <v>2350</v>
      </c>
      <c r="C39" s="496"/>
      <c r="D39" s="190">
        <f>ROUND('BASE-C190'!B13*(VLOOKUP(ROUND(((($D$3+$D$4)/2)-$D$5),3),FAKT_C109,2,-1)),0)</f>
        <v>440</v>
      </c>
      <c r="E39" s="179">
        <f>ROUND('BASE-C190'!C13*(VLOOKUP(ROUND(((($D$3+$D$4)/2)-$D$5),3),FAKT_C109,2,-1)),0)</f>
        <v>548</v>
      </c>
      <c r="F39" s="179">
        <f>ROUND('BASE-C190'!D13*(VLOOKUP(ROUND(((($D$3+$D$4)/2)-$D$5),3),FAKT_C109,2,-1)),0)</f>
        <v>831</v>
      </c>
      <c r="G39" s="179">
        <f>ROUND('BASE-C190'!E13*(VLOOKUP(ROUND(((($D$3+$D$4)/2)-$D$5),3),FAKT_C109,2,-1)),0)</f>
        <v>880</v>
      </c>
      <c r="H39" s="179">
        <f>ROUND('BASE-C190'!F13*(VLOOKUP(ROUND(((($D$3+$D$4)/2)-$D$5),3),FAKT_C109,2,-1)),0)</f>
        <v>1072</v>
      </c>
      <c r="I39" s="179">
        <f>ROUND('BASE-C190'!G13*(VLOOKUP(ROUND(((($D$3+$D$4)/2)-$D$5),3),FAKT_C109,2,-1)),0)</f>
        <v>1139</v>
      </c>
      <c r="J39" s="179">
        <f>ROUND('BASE-C190'!H13*(VLOOKUP(ROUND(((($D$3+$D$4)/2)-$D$5),3),FAKT_C109,2,-1)),0)</f>
        <v>1328</v>
      </c>
      <c r="K39" s="180">
        <f>ROUND('BASE-C190'!I13*(VLOOKUP(ROUND(((($D$3+$D$4)/2)-$D$5),3),FAKT_C109,2,-1)),0)</f>
        <v>1528</v>
      </c>
    </row>
    <row r="40" spans="2:11" ht="12.75" customHeight="1" x14ac:dyDescent="0.2">
      <c r="B40" s="496"/>
      <c r="C40" s="496"/>
      <c r="D40" s="191">
        <f t="shared" ref="D40:K40" si="11">ROUNDDOWN(D39/(1.161*($D$3-$D$4)),0)</f>
        <v>37</v>
      </c>
      <c r="E40" s="181">
        <f t="shared" si="11"/>
        <v>47</v>
      </c>
      <c r="F40" s="181">
        <f t="shared" si="11"/>
        <v>71</v>
      </c>
      <c r="G40" s="181">
        <f t="shared" si="11"/>
        <v>75</v>
      </c>
      <c r="H40" s="181">
        <f t="shared" si="11"/>
        <v>92</v>
      </c>
      <c r="I40" s="181">
        <f t="shared" si="11"/>
        <v>98</v>
      </c>
      <c r="J40" s="181">
        <f t="shared" si="11"/>
        <v>114</v>
      </c>
      <c r="K40" s="182">
        <f t="shared" si="11"/>
        <v>131</v>
      </c>
    </row>
    <row r="41" spans="2:11" ht="12.75" customHeight="1" x14ac:dyDescent="0.2">
      <c r="B41" s="482">
        <v>2550</v>
      </c>
      <c r="C41" s="482"/>
      <c r="D41" s="188">
        <f>ROUND('BASE-C190'!B14*(VLOOKUP(ROUND(((($D$3+$D$4)/2)-$D$5),3),FAKT_C109,2,-1)),0)</f>
        <v>484</v>
      </c>
      <c r="E41" s="175">
        <f>ROUND('BASE-C190'!C14*(VLOOKUP(ROUND(((($D$3+$D$4)/2)-$D$5),3),FAKT_C109,2,-1)),0)</f>
        <v>603</v>
      </c>
      <c r="F41" s="175">
        <f>ROUND('BASE-C190'!D14*(VLOOKUP(ROUND(((($D$3+$D$4)/2)-$D$5),3),FAKT_C109,2,-1)),0)</f>
        <v>915</v>
      </c>
      <c r="G41" s="175">
        <f>ROUND('BASE-C190'!E14*(VLOOKUP(ROUND(((($D$3+$D$4)/2)-$D$5),3),FAKT_C109,2,-1)),0)</f>
        <v>968</v>
      </c>
      <c r="H41" s="175">
        <f>ROUND('BASE-C190'!F14*(VLOOKUP(ROUND(((($D$3+$D$4)/2)-$D$5),3),FAKT_C109,2,-1)),0)</f>
        <v>1180</v>
      </c>
      <c r="I41" s="175">
        <f>ROUND('BASE-C190'!G14*(VLOOKUP(ROUND(((($D$3+$D$4)/2)-$D$5),3),FAKT_C109,2,-1)),0)</f>
        <v>1253</v>
      </c>
      <c r="J41" s="175">
        <f>ROUND('BASE-C190'!H14*(VLOOKUP(ROUND(((($D$3+$D$4)/2)-$D$5),3),FAKT_C109,2,-1)),0)</f>
        <v>1461</v>
      </c>
      <c r="K41" s="176">
        <f>ROUND('BASE-C190'!I14*(VLOOKUP(ROUND(((($D$3+$D$4)/2)-$D$5),3),FAKT_C109,2,-1)),0)</f>
        <v>1681</v>
      </c>
    </row>
    <row r="42" spans="2:11" ht="12.75" customHeight="1" x14ac:dyDescent="0.2">
      <c r="B42" s="482"/>
      <c r="C42" s="482"/>
      <c r="D42" s="189">
        <f t="shared" ref="D42:K42" si="12">ROUNDDOWN(D41/(1.161*($D$3-$D$4)),0)</f>
        <v>41</v>
      </c>
      <c r="E42" s="177">
        <f t="shared" si="12"/>
        <v>51</v>
      </c>
      <c r="F42" s="177">
        <f t="shared" si="12"/>
        <v>78</v>
      </c>
      <c r="G42" s="177">
        <f t="shared" si="12"/>
        <v>83</v>
      </c>
      <c r="H42" s="177">
        <f t="shared" si="12"/>
        <v>101</v>
      </c>
      <c r="I42" s="177">
        <f t="shared" si="12"/>
        <v>107</v>
      </c>
      <c r="J42" s="177">
        <f t="shared" si="12"/>
        <v>125</v>
      </c>
      <c r="K42" s="178">
        <f t="shared" si="12"/>
        <v>144</v>
      </c>
    </row>
    <row r="43" spans="2:11" ht="12.75" customHeight="1" x14ac:dyDescent="0.2">
      <c r="B43" s="496">
        <v>2750</v>
      </c>
      <c r="C43" s="496"/>
      <c r="D43" s="190">
        <f>ROUND('BASE-C190'!B15*(VLOOKUP(ROUND(((($D$3+$D$4)/2)-$D$5),3),FAKT_C109,2,-1)),0)</f>
        <v>528</v>
      </c>
      <c r="E43" s="179">
        <f>ROUND('BASE-C190'!C15*(VLOOKUP(ROUND(((($D$3+$D$4)/2)-$D$5),3),FAKT_C109,2,-1)),0)</f>
        <v>657</v>
      </c>
      <c r="F43" s="179">
        <f>ROUND('BASE-C190'!D15*(VLOOKUP(ROUND(((($D$3+$D$4)/2)-$D$5),3),FAKT_C109,2,-1)),0)</f>
        <v>998</v>
      </c>
      <c r="G43" s="179">
        <f>ROUND('BASE-C190'!E15*(VLOOKUP(ROUND(((($D$3+$D$4)/2)-$D$5),3),FAKT_C109,2,-1)),0)</f>
        <v>1057</v>
      </c>
      <c r="H43" s="179">
        <f>ROUND('BASE-C190'!F15*(VLOOKUP(ROUND(((($D$3+$D$4)/2)-$D$5),3),FAKT_C109,2,-1)),0)</f>
        <v>1288</v>
      </c>
      <c r="I43" s="179">
        <f>ROUND('BASE-C190'!G15*(VLOOKUP(ROUND(((($D$3+$D$4)/2)-$D$5),3),FAKT_C109,2,-1)),0)</f>
        <v>1367</v>
      </c>
      <c r="J43" s="179">
        <f>ROUND('BASE-C190'!H15*(VLOOKUP(ROUND(((($D$3+$D$4)/2)-$D$5),3),FAKT_C109,2,-1)),0)</f>
        <v>1593</v>
      </c>
      <c r="K43" s="180">
        <f>ROUND('BASE-C190'!I15*(VLOOKUP(ROUND(((($D$3+$D$4)/2)-$D$5),3),FAKT_C109,2,-1)),0)</f>
        <v>1833</v>
      </c>
    </row>
    <row r="44" spans="2:11" ht="12.75" customHeight="1" x14ac:dyDescent="0.2">
      <c r="B44" s="496"/>
      <c r="C44" s="496"/>
      <c r="D44" s="191">
        <f t="shared" ref="D44:K44" si="13">ROUNDDOWN(D43/(1.161*($D$3-$D$4)),0)</f>
        <v>45</v>
      </c>
      <c r="E44" s="181">
        <f t="shared" si="13"/>
        <v>56</v>
      </c>
      <c r="F44" s="181">
        <f t="shared" si="13"/>
        <v>85</v>
      </c>
      <c r="G44" s="181">
        <f t="shared" si="13"/>
        <v>91</v>
      </c>
      <c r="H44" s="181">
        <f t="shared" si="13"/>
        <v>110</v>
      </c>
      <c r="I44" s="181">
        <f t="shared" si="13"/>
        <v>117</v>
      </c>
      <c r="J44" s="181">
        <f t="shared" si="13"/>
        <v>137</v>
      </c>
      <c r="K44" s="182">
        <f t="shared" si="13"/>
        <v>157</v>
      </c>
    </row>
    <row r="45" spans="2:11" ht="12.75" customHeight="1" x14ac:dyDescent="0.2">
      <c r="B45" s="482">
        <v>2950</v>
      </c>
      <c r="C45" s="482"/>
      <c r="D45" s="188">
        <f>ROUND('BASE-C190'!B16*(VLOOKUP(ROUND(((($D$3+$D$4)/2)-$D$5),3),FAKT_C109,2,-1)),0)</f>
        <v>572</v>
      </c>
      <c r="E45" s="175">
        <f>ROUND('BASE-C190'!C16*(VLOOKUP(ROUND(((($D$3+$D$4)/2)-$D$5),3),FAKT_C109,2,-1)),0)</f>
        <v>712</v>
      </c>
      <c r="F45" s="175">
        <f>ROUND('BASE-C190'!D16*(VLOOKUP(ROUND(((($D$3+$D$4)/2)-$D$5),3),FAKT_C109,2,-1)),0)</f>
        <v>1080</v>
      </c>
      <c r="G45" s="175">
        <f>ROUND('BASE-C190'!E16*(VLOOKUP(ROUND(((($D$3+$D$4)/2)-$D$5),3),FAKT_C109,2,-1)),0)</f>
        <v>1144</v>
      </c>
      <c r="H45" s="175">
        <f>ROUND('BASE-C190'!F16*(VLOOKUP(ROUND(((($D$3+$D$4)/2)-$D$5),3),FAKT_C109,2,-1)),0)</f>
        <v>1394</v>
      </c>
      <c r="I45" s="175">
        <f>ROUND('BASE-C190'!G16*(VLOOKUP(ROUND(((($D$3+$D$4)/2)-$D$5),3),FAKT_C109,2,-1)),0)</f>
        <v>1480</v>
      </c>
      <c r="J45" s="175">
        <f>ROUND('BASE-C190'!H16*(VLOOKUP(ROUND(((($D$3+$D$4)/2)-$D$5),3),FAKT_C109,2,-1)),0)</f>
        <v>1726</v>
      </c>
      <c r="K45" s="176">
        <f>ROUND('BASE-C190'!I16*(VLOOKUP(ROUND(((($D$3+$D$4)/2)-$D$5),3),FAKT_C109,2,-1)),0)</f>
        <v>1987</v>
      </c>
    </row>
    <row r="46" spans="2:11" ht="12.75" customHeight="1" x14ac:dyDescent="0.2">
      <c r="B46" s="482"/>
      <c r="C46" s="482"/>
      <c r="D46" s="189">
        <f t="shared" ref="D46:K46" si="14">ROUNDDOWN(D45/(1.161*($D$3-$D$4)),0)</f>
        <v>49</v>
      </c>
      <c r="E46" s="177">
        <f t="shared" si="14"/>
        <v>61</v>
      </c>
      <c r="F46" s="177">
        <f t="shared" si="14"/>
        <v>93</v>
      </c>
      <c r="G46" s="177">
        <f t="shared" si="14"/>
        <v>98</v>
      </c>
      <c r="H46" s="177">
        <f t="shared" si="14"/>
        <v>120</v>
      </c>
      <c r="I46" s="177">
        <f t="shared" si="14"/>
        <v>127</v>
      </c>
      <c r="J46" s="177">
        <f t="shared" si="14"/>
        <v>148</v>
      </c>
      <c r="K46" s="178">
        <f t="shared" si="14"/>
        <v>171</v>
      </c>
    </row>
    <row r="47" spans="2:11" ht="12.75" customHeight="1" x14ac:dyDescent="0.2">
      <c r="B47" s="496">
        <v>3150</v>
      </c>
      <c r="C47" s="496"/>
      <c r="D47" s="190">
        <f>ROUND('BASE-C190'!B17*(VLOOKUP(ROUND(((($D$3+$D$4)/2)-$D$5),3),FAKT_C109,2,-1)),0)</f>
        <v>617</v>
      </c>
      <c r="E47" s="179">
        <f>ROUND('BASE-C190'!C17*(VLOOKUP(ROUND(((($D$3+$D$4)/2)-$D$5),3),FAKT_C109,2,-1)),0)</f>
        <v>767</v>
      </c>
      <c r="F47" s="179">
        <f>ROUND('BASE-C190'!D17*(VLOOKUP(ROUND(((($D$3+$D$4)/2)-$D$5),3),FAKT_C109,2,-1)),0)</f>
        <v>1165</v>
      </c>
      <c r="G47" s="179">
        <f>ROUND('BASE-C190'!E17*(VLOOKUP(ROUND(((($D$3+$D$4)/2)-$D$5),3),FAKT_C109,2,-1)),0)</f>
        <v>1233</v>
      </c>
      <c r="H47" s="179">
        <f>ROUND('BASE-C190'!F17*(VLOOKUP(ROUND(((($D$3+$D$4)/2)-$D$5),3),FAKT_C109,2,-1)),0)</f>
        <v>1502</v>
      </c>
      <c r="I47" s="179">
        <f>ROUND('BASE-C190'!G17*(VLOOKUP(ROUND(((($D$3+$D$4)/2)-$D$5),3),FAKT_C109,2,-1)),0)</f>
        <v>1594</v>
      </c>
      <c r="J47" s="179">
        <f>ROUND('BASE-C190'!H17*(VLOOKUP(ROUND(((($D$3+$D$4)/2)-$D$5),3),FAKT_C109,2,-1)),0)</f>
        <v>1859</v>
      </c>
      <c r="K47" s="180">
        <f>ROUND('BASE-C190'!I17*(VLOOKUP(ROUND(((($D$3+$D$4)/2)-$D$5),3),FAKT_C109,2,-1)),0)</f>
        <v>2139</v>
      </c>
    </row>
    <row r="48" spans="2:11" ht="12.75" customHeight="1" x14ac:dyDescent="0.2">
      <c r="B48" s="496"/>
      <c r="C48" s="496"/>
      <c r="D48" s="191">
        <f t="shared" ref="D48:K48" si="15">ROUNDDOWN(D47/(1.161*($D$3-$D$4)),0)</f>
        <v>53</v>
      </c>
      <c r="E48" s="181">
        <f t="shared" si="15"/>
        <v>66</v>
      </c>
      <c r="F48" s="181">
        <f t="shared" si="15"/>
        <v>100</v>
      </c>
      <c r="G48" s="181">
        <f t="shared" si="15"/>
        <v>106</v>
      </c>
      <c r="H48" s="181">
        <f t="shared" si="15"/>
        <v>129</v>
      </c>
      <c r="I48" s="181">
        <f t="shared" si="15"/>
        <v>137</v>
      </c>
      <c r="J48" s="181">
        <f t="shared" si="15"/>
        <v>160</v>
      </c>
      <c r="K48" s="182">
        <f t="shared" si="15"/>
        <v>184</v>
      </c>
    </row>
    <row r="49" spans="2:11" ht="12.75" customHeight="1" x14ac:dyDescent="0.2">
      <c r="B49" s="482">
        <v>3350</v>
      </c>
      <c r="C49" s="482"/>
      <c r="D49" s="188">
        <f>ROUND('BASE-C190'!B18*(VLOOKUP(ROUND(((($D$3+$D$4)/2)-$D$5),3),FAKT_C109,2,-1)),0)</f>
        <v>660</v>
      </c>
      <c r="E49" s="175">
        <f>ROUND('BASE-C190'!C18*(VLOOKUP(ROUND(((($D$3+$D$4)/2)-$D$5),3),FAKT_C109,2,-1)),0)</f>
        <v>822</v>
      </c>
      <c r="F49" s="175">
        <f>ROUND('BASE-C190'!D18*(VLOOKUP(ROUND(((($D$3+$D$4)/2)-$D$5),3),FAKT_C109,2,-1)),0)</f>
        <v>1247</v>
      </c>
      <c r="G49" s="175">
        <f>ROUND('BASE-C190'!E18*(VLOOKUP(ROUND(((($D$3+$D$4)/2)-$D$5),3),FAKT_C109,2,-1)),0)</f>
        <v>1320</v>
      </c>
      <c r="H49" s="175">
        <f>ROUND('BASE-C190'!F18*(VLOOKUP(ROUND(((($D$3+$D$4)/2)-$D$5),3),FAKT_C109,2,-1)),0)</f>
        <v>1609</v>
      </c>
      <c r="I49" s="175">
        <f>ROUND('BASE-C190'!G18*(VLOOKUP(ROUND(((($D$3+$D$4)/2)-$D$5),3),FAKT_C109,2,-1)),0)</f>
        <v>1709</v>
      </c>
      <c r="J49" s="175">
        <f>ROUND('BASE-C190'!H18*(VLOOKUP(ROUND(((($D$3+$D$4)/2)-$D$5),3),FAKT_C109,2,-1)),0)</f>
        <v>1991</v>
      </c>
      <c r="K49" s="176">
        <f>ROUND('BASE-C190'!I18*(VLOOKUP(ROUND(((($D$3+$D$4)/2)-$D$5),3),FAKT_C109,2,-1)),0)</f>
        <v>2292</v>
      </c>
    </row>
    <row r="50" spans="2:11" ht="12.75" customHeight="1" x14ac:dyDescent="0.2">
      <c r="B50" s="482"/>
      <c r="C50" s="482"/>
      <c r="D50" s="189">
        <f t="shared" ref="D50:K50" si="16">ROUNDDOWN(D49/(1.161*($D$3-$D$4)),0)</f>
        <v>56</v>
      </c>
      <c r="E50" s="177">
        <f t="shared" si="16"/>
        <v>70</v>
      </c>
      <c r="F50" s="177">
        <f t="shared" si="16"/>
        <v>107</v>
      </c>
      <c r="G50" s="177">
        <f t="shared" si="16"/>
        <v>113</v>
      </c>
      <c r="H50" s="177">
        <f t="shared" si="16"/>
        <v>138</v>
      </c>
      <c r="I50" s="177">
        <f t="shared" si="16"/>
        <v>147</v>
      </c>
      <c r="J50" s="177">
        <f t="shared" si="16"/>
        <v>171</v>
      </c>
      <c r="K50" s="178">
        <f t="shared" si="16"/>
        <v>197</v>
      </c>
    </row>
    <row r="51" spans="2:11" ht="12.75" customHeight="1" x14ac:dyDescent="0.2">
      <c r="B51" s="496">
        <v>3550</v>
      </c>
      <c r="C51" s="496"/>
      <c r="D51" s="190">
        <f>ROUND('BASE-C190'!B19*(VLOOKUP(ROUND(((($D$3+$D$4)/2)-$D$5),3),FAKT_C109,2,-1)),0)</f>
        <v>704</v>
      </c>
      <c r="E51" s="179">
        <f>ROUND('BASE-C190'!C19*(VLOOKUP(ROUND(((($D$3+$D$4)/2)-$D$5),3),FAKT_C109,2,-1)),0)</f>
        <v>876</v>
      </c>
      <c r="F51" s="179">
        <f>ROUND('BASE-C190'!D19*(VLOOKUP(ROUND(((($D$3+$D$4)/2)-$D$5),3),FAKT_C109,2,-1)),0)</f>
        <v>1330</v>
      </c>
      <c r="G51" s="179">
        <f>ROUND('BASE-C190'!E19*(VLOOKUP(ROUND(((($D$3+$D$4)/2)-$D$5),3),FAKT_C109,2,-1)),0)</f>
        <v>1409</v>
      </c>
      <c r="H51" s="179">
        <f>ROUND('BASE-C190'!F19*(VLOOKUP(ROUND(((($D$3+$D$4)/2)-$D$5),3),FAKT_C109,2,-1)),0)</f>
        <v>1717</v>
      </c>
      <c r="I51" s="179">
        <f>ROUND('BASE-C190'!G19*(VLOOKUP(ROUND(((($D$3+$D$4)/2)-$D$5),3),FAKT_C109,2,-1)),0)</f>
        <v>1823</v>
      </c>
      <c r="J51" s="179">
        <f>ROUND('BASE-C190'!H19*(VLOOKUP(ROUND(((($D$3+$D$4)/2)-$D$5),3),FAKT_C109,2,-1)),0)</f>
        <v>2124</v>
      </c>
      <c r="K51" s="180">
        <f>ROUND('BASE-C190'!I19*(VLOOKUP(ROUND(((($D$3+$D$4)/2)-$D$5),3),FAKT_C109,2,-1)),0)</f>
        <v>2444</v>
      </c>
    </row>
    <row r="52" spans="2:11" ht="12.75" customHeight="1" x14ac:dyDescent="0.2">
      <c r="B52" s="496"/>
      <c r="C52" s="496"/>
      <c r="D52" s="191">
        <f t="shared" ref="D52:K52" si="17">ROUNDDOWN(D51/(1.161*($D$3-$D$4)),0)</f>
        <v>60</v>
      </c>
      <c r="E52" s="181">
        <f t="shared" si="17"/>
        <v>75</v>
      </c>
      <c r="F52" s="181">
        <f t="shared" si="17"/>
        <v>114</v>
      </c>
      <c r="G52" s="181">
        <f t="shared" si="17"/>
        <v>121</v>
      </c>
      <c r="H52" s="181">
        <f t="shared" si="17"/>
        <v>147</v>
      </c>
      <c r="I52" s="181">
        <f t="shared" si="17"/>
        <v>157</v>
      </c>
      <c r="J52" s="181">
        <f t="shared" si="17"/>
        <v>182</v>
      </c>
      <c r="K52" s="182">
        <f t="shared" si="17"/>
        <v>210</v>
      </c>
    </row>
    <row r="53" spans="2:11" ht="12.75" customHeight="1" x14ac:dyDescent="0.2">
      <c r="B53" s="482">
        <v>3750</v>
      </c>
      <c r="C53" s="482"/>
      <c r="D53" s="188">
        <f>ROUND('BASE-C190'!B20*(VLOOKUP(ROUND(((($D$3+$D$4)/2)-$D$5),3),FAKT_C109,2,-1)),0)</f>
        <v>748</v>
      </c>
      <c r="E53" s="175">
        <f>ROUND('BASE-C190'!C20*(VLOOKUP(ROUND(((($D$3+$D$4)/2)-$D$5),3),FAKT_C109,2,-1)),0)</f>
        <v>931</v>
      </c>
      <c r="F53" s="175">
        <f>ROUND('BASE-C190'!D20*(VLOOKUP(ROUND(((($D$3+$D$4)/2)-$D$5),3),FAKT_C109,2,-1)),0)</f>
        <v>1414</v>
      </c>
      <c r="G53" s="175">
        <f>ROUND('BASE-C190'!E20*(VLOOKUP(ROUND(((($D$3+$D$4)/2)-$D$5),3),FAKT_C109,2,-1)),0)</f>
        <v>1497</v>
      </c>
      <c r="H53" s="175">
        <f>ROUND('BASE-C190'!F20*(VLOOKUP(ROUND(((($D$3+$D$4)/2)-$D$5),3),FAKT_C109,2,-1)),0)</f>
        <v>1824</v>
      </c>
      <c r="I53" s="175">
        <f>ROUND('BASE-C190'!G20*(VLOOKUP(ROUND(((($D$3+$D$4)/2)-$D$5),3),FAKT_C109,2,-1)),0)</f>
        <v>1937</v>
      </c>
      <c r="J53" s="175">
        <f>ROUND('BASE-C190'!H20*(VLOOKUP(ROUND(((($D$3+$D$4)/2)-$D$5),3),FAKT_C109,2,-1)),0)</f>
        <v>2257</v>
      </c>
      <c r="K53" s="176">
        <f>ROUND('BASE-C190'!I20*(VLOOKUP(ROUND(((($D$3+$D$4)/2)-$D$5),3),FAKT_C109,2,-1)),0)</f>
        <v>2597</v>
      </c>
    </row>
    <row r="54" spans="2:11" ht="12.75" customHeight="1" x14ac:dyDescent="0.2">
      <c r="B54" s="482"/>
      <c r="C54" s="482"/>
      <c r="D54" s="189">
        <f t="shared" ref="D54:K54" si="18">ROUNDDOWN(D53/(1.161*($D$3-$D$4)),0)</f>
        <v>64</v>
      </c>
      <c r="E54" s="177">
        <f t="shared" si="18"/>
        <v>80</v>
      </c>
      <c r="F54" s="177">
        <f t="shared" si="18"/>
        <v>121</v>
      </c>
      <c r="G54" s="177">
        <f t="shared" si="18"/>
        <v>128</v>
      </c>
      <c r="H54" s="177">
        <f t="shared" si="18"/>
        <v>157</v>
      </c>
      <c r="I54" s="177">
        <f t="shared" si="18"/>
        <v>166</v>
      </c>
      <c r="J54" s="177">
        <f t="shared" si="18"/>
        <v>194</v>
      </c>
      <c r="K54" s="178">
        <f t="shared" si="18"/>
        <v>223</v>
      </c>
    </row>
    <row r="55" spans="2:11" ht="12.75" customHeight="1" x14ac:dyDescent="0.2">
      <c r="B55" s="496">
        <v>3950</v>
      </c>
      <c r="C55" s="496"/>
      <c r="D55" s="190">
        <f>ROUND('BASE-C190'!B21*(VLOOKUP(ROUND(((($D$3+$D$4)/2)-$D$5),3),FAKT_C109,2,-1)),0)</f>
        <v>792</v>
      </c>
      <c r="E55" s="179">
        <f>ROUND('BASE-C190'!C21*(VLOOKUP(ROUND(((($D$3+$D$4)/2)-$D$5),3),FAKT_C109,2,-1)),0)</f>
        <v>986</v>
      </c>
      <c r="F55" s="179">
        <f>ROUND('BASE-C190'!D21*(VLOOKUP(ROUND(((($D$3+$D$4)/2)-$D$5),3),FAKT_C109,2,-1)),0)</f>
        <v>1497</v>
      </c>
      <c r="G55" s="179">
        <f>ROUND('BASE-C190'!E21*(VLOOKUP(ROUND(((($D$3+$D$4)/2)-$D$5),3),FAKT_C109,2,-1)),0)</f>
        <v>1585</v>
      </c>
      <c r="H55" s="179">
        <f>ROUND('BASE-C190'!F21*(VLOOKUP(ROUND(((($D$3+$D$4)/2)-$D$5),3),FAKT_C109,2,-1)),0)</f>
        <v>1931</v>
      </c>
      <c r="I55" s="179">
        <f>ROUND('BASE-C190'!G21*(VLOOKUP(ROUND(((($D$3+$D$4)/2)-$D$5),3),FAKT_C109,2,-1)),0)</f>
        <v>2050</v>
      </c>
      <c r="J55" s="179">
        <f>ROUND('BASE-C190'!H21*(VLOOKUP(ROUND(((($D$3+$D$4)/2)-$D$5),3),FAKT_C109,2,-1)),0)</f>
        <v>2390</v>
      </c>
      <c r="K55" s="180">
        <f>ROUND('BASE-C190'!I21*(VLOOKUP(ROUND(((($D$3+$D$4)/2)-$D$5),3),FAKT_C109,2,-1)),0)</f>
        <v>2750</v>
      </c>
    </row>
    <row r="56" spans="2:11" ht="12.75" customHeight="1" x14ac:dyDescent="0.2">
      <c r="B56" s="496"/>
      <c r="C56" s="496"/>
      <c r="D56" s="191">
        <f t="shared" ref="D56:K56" si="19">ROUNDDOWN(D55/(1.161*($D$3-$D$4)),0)</f>
        <v>68</v>
      </c>
      <c r="E56" s="181">
        <f t="shared" si="19"/>
        <v>84</v>
      </c>
      <c r="F56" s="181">
        <f t="shared" si="19"/>
        <v>128</v>
      </c>
      <c r="G56" s="181">
        <f t="shared" si="19"/>
        <v>136</v>
      </c>
      <c r="H56" s="181">
        <f t="shared" si="19"/>
        <v>166</v>
      </c>
      <c r="I56" s="181">
        <f t="shared" si="19"/>
        <v>176</v>
      </c>
      <c r="J56" s="181">
        <f t="shared" si="19"/>
        <v>205</v>
      </c>
      <c r="K56" s="182">
        <f t="shared" si="19"/>
        <v>236</v>
      </c>
    </row>
    <row r="57" spans="2:11" ht="10.9" customHeight="1" x14ac:dyDescent="0.2">
      <c r="B57" s="148"/>
      <c r="C57" s="148"/>
      <c r="K57" s="140"/>
    </row>
    <row r="58" spans="2:11" x14ac:dyDescent="0.2">
      <c r="B58" s="141" t="str">
        <f>VLOOKUP(36,TXT,$F$3,0)</f>
        <v>Angabe in Watt  pro Bodenkonvektor-Länge L [mm]</v>
      </c>
      <c r="K58" s="121" t="str">
        <f>VLOOKUP(16,TXT,$F$3,0)</f>
        <v>Wärmeleistungen in Anlehnung an EN 442-2</v>
      </c>
    </row>
    <row r="59" spans="2:11" x14ac:dyDescent="0.2">
      <c r="B59" s="141" t="str">
        <f>VLOOKUP(90,TXT,$F$3,0)</f>
        <v>Leistungsdaten mit Abdeckung, Rollrost Typ 941-17-B (f.Q. 70%)</v>
      </c>
      <c r="K59" s="121"/>
    </row>
    <row r="60" spans="2:11" x14ac:dyDescent="0.2">
      <c r="B60" s="141" t="str">
        <f>VLOOKUP(29,TXT,$F$3,0)</f>
        <v>Minimale Wassermassenströme von ca. 20 kg/h sollen eingehalten werden</v>
      </c>
      <c r="K60" s="122" t="s">
        <v>1050</v>
      </c>
    </row>
    <row r="61" spans="2:11" x14ac:dyDescent="0.2">
      <c r="B61" s="183"/>
      <c r="C61" s="120"/>
      <c r="F61" s="120"/>
    </row>
    <row r="62" spans="2:11" hidden="1" x14ac:dyDescent="0.2">
      <c r="B62" s="183"/>
      <c r="C62" s="120"/>
      <c r="F62" s="120"/>
    </row>
    <row r="63" spans="2:11" hidden="1" x14ac:dyDescent="0.2">
      <c r="B63" s="183"/>
      <c r="C63" s="120"/>
      <c r="F63" s="120"/>
    </row>
  </sheetData>
  <sheetProtection algorithmName="SHA-512" hashValue="tnCEPzXt6jcSr++KxXhkZ5L3VYvPG5Nd1Qz4L7vM+T2s6UpFHOmHIOPDg83rregerWpog43+o9u4ihrzk89QkA==" saltValue="razjUXf7WUANP1KTkAg+kQ==" spinCount="100000" sheet="1" objects="1" scenarios="1" selectLockedCells="1"/>
  <protectedRanges>
    <protectedRange sqref="F4:F5" name="Bereich1_1_1"/>
  </protectedRanges>
  <mergeCells count="38">
    <mergeCell ref="H16:K16"/>
    <mergeCell ref="B10:D10"/>
    <mergeCell ref="E10:G10"/>
    <mergeCell ref="H10:I10"/>
    <mergeCell ref="J10:K10"/>
    <mergeCell ref="B12:C12"/>
    <mergeCell ref="B13:C13"/>
    <mergeCell ref="B14:C14"/>
    <mergeCell ref="B16:C16"/>
    <mergeCell ref="D16:G16"/>
    <mergeCell ref="B39:C40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53:C54"/>
    <mergeCell ref="B55:C56"/>
    <mergeCell ref="B41:C42"/>
    <mergeCell ref="B43:C44"/>
    <mergeCell ref="B45:C46"/>
    <mergeCell ref="B47:C48"/>
    <mergeCell ref="B49:C50"/>
    <mergeCell ref="B51:C52"/>
    <mergeCell ref="F3:F5"/>
    <mergeCell ref="D2:E2"/>
    <mergeCell ref="B3:C3"/>
    <mergeCell ref="D3:E3"/>
    <mergeCell ref="B4:C4"/>
    <mergeCell ref="D4:E4"/>
    <mergeCell ref="B5:C5"/>
    <mergeCell ref="D5:E5"/>
  </mergeCells>
  <conditionalFormatting sqref="D3:D5">
    <cfRule type="expression" dxfId="32" priority="3">
      <formula>$I$4&lt;&gt;""</formula>
    </cfRule>
    <cfRule type="expression" dxfId="31" priority="4">
      <formula>$K$3&lt;&gt;""</formula>
    </cfRule>
  </conditionalFormatting>
  <conditionalFormatting sqref="D3:E5">
    <cfRule type="expression" dxfId="30" priority="1">
      <formula>$H$4&lt;&gt;""</formula>
    </cfRule>
  </conditionalFormatting>
  <conditionalFormatting sqref="D17:K17">
    <cfRule type="expression" dxfId="29" priority="82" stopIfTrue="1">
      <formula>D18&lt;20</formula>
    </cfRule>
  </conditionalFormatting>
  <conditionalFormatting sqref="D19:K19">
    <cfRule type="expression" dxfId="28" priority="81" stopIfTrue="1">
      <formula>D20&lt;20</formula>
    </cfRule>
  </conditionalFormatting>
  <conditionalFormatting sqref="D21:K21">
    <cfRule type="expression" dxfId="27" priority="61" stopIfTrue="1">
      <formula>D22&lt;20</formula>
    </cfRule>
  </conditionalFormatting>
  <conditionalFormatting sqref="D23:K23">
    <cfRule type="expression" dxfId="26" priority="79" stopIfTrue="1">
      <formula>D24&lt;20</formula>
    </cfRule>
  </conditionalFormatting>
  <conditionalFormatting sqref="D25:K25">
    <cfRule type="expression" dxfId="25" priority="59" stopIfTrue="1">
      <formula>D26&lt;20</formula>
    </cfRule>
  </conditionalFormatting>
  <conditionalFormatting sqref="D27:K27">
    <cfRule type="expression" dxfId="24" priority="77" stopIfTrue="1">
      <formula>D28&lt;20</formula>
    </cfRule>
  </conditionalFormatting>
  <conditionalFormatting sqref="D29:K29">
    <cfRule type="expression" dxfId="23" priority="57" stopIfTrue="1">
      <formula>D30&lt;20</formula>
    </cfRule>
  </conditionalFormatting>
  <conditionalFormatting sqref="D31:K31">
    <cfRule type="expression" dxfId="22" priority="75" stopIfTrue="1">
      <formula>D32&lt;20</formula>
    </cfRule>
  </conditionalFormatting>
  <conditionalFormatting sqref="D33:K33">
    <cfRule type="expression" dxfId="21" priority="55" stopIfTrue="1">
      <formula>D34&lt;20</formula>
    </cfRule>
  </conditionalFormatting>
  <conditionalFormatting sqref="D35:K35">
    <cfRule type="expression" dxfId="20" priority="73" stopIfTrue="1">
      <formula>D36&lt;20</formula>
    </cfRule>
  </conditionalFormatting>
  <conditionalFormatting sqref="D37:K37">
    <cfRule type="expression" dxfId="19" priority="53" stopIfTrue="1">
      <formula>D38&lt;20</formula>
    </cfRule>
  </conditionalFormatting>
  <conditionalFormatting sqref="D39:K39">
    <cfRule type="expression" dxfId="18" priority="71" stopIfTrue="1">
      <formula>D40&lt;20</formula>
    </cfRule>
  </conditionalFormatting>
  <conditionalFormatting sqref="D41:K41">
    <cfRule type="expression" dxfId="17" priority="51" stopIfTrue="1">
      <formula>D42&lt;20</formula>
    </cfRule>
  </conditionalFormatting>
  <conditionalFormatting sqref="D43:K43">
    <cfRule type="expression" dxfId="16" priority="69" stopIfTrue="1">
      <formula>D44&lt;20</formula>
    </cfRule>
  </conditionalFormatting>
  <conditionalFormatting sqref="D45:K45">
    <cfRule type="expression" dxfId="15" priority="49" stopIfTrue="1">
      <formula>D46&lt;20</formula>
    </cfRule>
  </conditionalFormatting>
  <conditionalFormatting sqref="D47:K47">
    <cfRule type="expression" dxfId="14" priority="67" stopIfTrue="1">
      <formula>D48&lt;20</formula>
    </cfRule>
  </conditionalFormatting>
  <conditionalFormatting sqref="D49:K49">
    <cfRule type="expression" dxfId="13" priority="47" stopIfTrue="1">
      <formula>D50&lt;20</formula>
    </cfRule>
  </conditionalFormatting>
  <conditionalFormatting sqref="D51:K51">
    <cfRule type="expression" dxfId="12" priority="65" stopIfTrue="1">
      <formula>D52&lt;20</formula>
    </cfRule>
  </conditionalFormatting>
  <conditionalFormatting sqref="D53:K53">
    <cfRule type="expression" dxfId="11" priority="45" stopIfTrue="1">
      <formula>D54&lt;20</formula>
    </cfRule>
  </conditionalFormatting>
  <conditionalFormatting sqref="D55:K55">
    <cfRule type="expression" dxfId="10" priority="63" stopIfTrue="1">
      <formula>D56&lt;20</formula>
    </cfRule>
  </conditionalFormatting>
  <dataValidations count="4">
    <dataValidation type="whole" allowBlank="1" showInputMessage="1" showErrorMessage="1" sqref="D3:E3" xr:uid="{E5986F80-A6C9-4615-82A1-6E4F99CE78B9}">
      <formula1>30</formula1>
      <formula2>90</formula2>
    </dataValidation>
    <dataValidation type="whole" allowBlank="1" showInputMessage="1" showErrorMessage="1" sqref="D4:E4" xr:uid="{4C27959F-2D85-4A62-ABCF-A8CA24697631}">
      <formula1>25</formula1>
      <formula2>85</formula2>
    </dataValidation>
    <dataValidation type="whole" allowBlank="1" showInputMessage="1" showErrorMessage="1" sqref="D5:E5" xr:uid="{1B492D6B-2606-4ED7-A427-AF66632A8330}">
      <formula1>15</formula1>
      <formula2>29</formula2>
    </dataValidation>
    <dataValidation type="whole" allowBlank="1" showInputMessage="1" showErrorMessage="1" sqref="F3:F5" xr:uid="{FADB896D-E347-459B-BB33-F37582CC4C9E}">
      <formula1>2</formula1>
      <formula2>3</formula2>
    </dataValidation>
  </dataValidations>
  <pageMargins left="0.59055118110236227" right="0.39370078740157483" top="1.1811023622047245" bottom="0.78740157480314965" header="0.51181102362204722" footer="0.51181102362204722"/>
  <pageSetup paperSize="9" orientation="portrait" r:id="rId1"/>
  <headerFooter alignWithMargins="0">
    <oddHeader xml:space="preserve">&amp;C&amp;11&amp;G
</oddHeader>
    <oddFooter>&amp;C&amp;G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4" id="{CEEF55F4-6FF4-4E07-82B9-9587AB58E7A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D18</xm:sqref>
        </x14:conditionalFormatting>
        <x14:conditionalFormatting xmlns:xm="http://schemas.microsoft.com/office/excel/2006/main">
          <x14:cfRule type="iconSet" priority="42" id="{AE07F6B3-561A-4ED1-ADD8-735ACB296FA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D20</xm:sqref>
        </x14:conditionalFormatting>
        <x14:conditionalFormatting xmlns:xm="http://schemas.microsoft.com/office/excel/2006/main">
          <x14:cfRule type="iconSet" priority="22" id="{5E7BFB89-AA8E-46CB-9E48-279976F6684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D22</xm:sqref>
        </x14:conditionalFormatting>
        <x14:conditionalFormatting xmlns:xm="http://schemas.microsoft.com/office/excel/2006/main">
          <x14:cfRule type="iconSet" priority="40" id="{82D8C726-2177-4A35-9E13-89F1C9A6606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D24</xm:sqref>
        </x14:conditionalFormatting>
        <x14:conditionalFormatting xmlns:xm="http://schemas.microsoft.com/office/excel/2006/main">
          <x14:cfRule type="iconSet" priority="20" id="{3AB05922-A398-489B-B303-94C24D963473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D26</xm:sqref>
        </x14:conditionalFormatting>
        <x14:conditionalFormatting xmlns:xm="http://schemas.microsoft.com/office/excel/2006/main">
          <x14:cfRule type="iconSet" priority="38" id="{CB53ED6B-48F0-4F68-834F-803CD479A89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D28</xm:sqref>
        </x14:conditionalFormatting>
        <x14:conditionalFormatting xmlns:xm="http://schemas.microsoft.com/office/excel/2006/main">
          <x14:cfRule type="iconSet" priority="18" id="{962303A7-3661-4816-BE49-723CFF31311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D30</xm:sqref>
        </x14:conditionalFormatting>
        <x14:conditionalFormatting xmlns:xm="http://schemas.microsoft.com/office/excel/2006/main">
          <x14:cfRule type="iconSet" priority="36" id="{734042E7-B14E-4658-906E-C96CA6C38B4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D32</xm:sqref>
        </x14:conditionalFormatting>
        <x14:conditionalFormatting xmlns:xm="http://schemas.microsoft.com/office/excel/2006/main">
          <x14:cfRule type="iconSet" priority="16" id="{F5DB23FC-1435-4B6F-A965-80279865F48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D34</xm:sqref>
        </x14:conditionalFormatting>
        <x14:conditionalFormatting xmlns:xm="http://schemas.microsoft.com/office/excel/2006/main">
          <x14:cfRule type="iconSet" priority="34" id="{642BB696-1264-447C-947E-B7C673FD3EF8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D36</xm:sqref>
        </x14:conditionalFormatting>
        <x14:conditionalFormatting xmlns:xm="http://schemas.microsoft.com/office/excel/2006/main">
          <x14:cfRule type="iconSet" priority="14" id="{88CCE287-FACA-4534-AFFC-70ED91C157C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D38</xm:sqref>
        </x14:conditionalFormatting>
        <x14:conditionalFormatting xmlns:xm="http://schemas.microsoft.com/office/excel/2006/main">
          <x14:cfRule type="iconSet" priority="32" id="{0FF0BC83-087A-49B8-9DD9-9983BFEADBF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D40</xm:sqref>
        </x14:conditionalFormatting>
        <x14:conditionalFormatting xmlns:xm="http://schemas.microsoft.com/office/excel/2006/main">
          <x14:cfRule type="iconSet" priority="12" id="{53A7640F-3DD2-41F1-8832-C4B94368B85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D42</xm:sqref>
        </x14:conditionalFormatting>
        <x14:conditionalFormatting xmlns:xm="http://schemas.microsoft.com/office/excel/2006/main">
          <x14:cfRule type="iconSet" priority="30" id="{18B315FD-D82F-48FB-9620-24F17178E38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D44</xm:sqref>
        </x14:conditionalFormatting>
        <x14:conditionalFormatting xmlns:xm="http://schemas.microsoft.com/office/excel/2006/main">
          <x14:cfRule type="iconSet" priority="10" id="{E8FB5B17-CDDC-4032-8B88-7EE3C9AD97B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D46</xm:sqref>
        </x14:conditionalFormatting>
        <x14:conditionalFormatting xmlns:xm="http://schemas.microsoft.com/office/excel/2006/main">
          <x14:cfRule type="iconSet" priority="28" id="{B641ED3B-3329-4EC7-B7F7-868629321EB9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D48</xm:sqref>
        </x14:conditionalFormatting>
        <x14:conditionalFormatting xmlns:xm="http://schemas.microsoft.com/office/excel/2006/main">
          <x14:cfRule type="iconSet" priority="8" id="{DA822E44-80C1-44B8-90A7-F7EBC778BEE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D50</xm:sqref>
        </x14:conditionalFormatting>
        <x14:conditionalFormatting xmlns:xm="http://schemas.microsoft.com/office/excel/2006/main">
          <x14:cfRule type="iconSet" priority="26" id="{5E2035DA-1724-41E4-82BE-23D0F9C7584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D52</xm:sqref>
        </x14:conditionalFormatting>
        <x14:conditionalFormatting xmlns:xm="http://schemas.microsoft.com/office/excel/2006/main">
          <x14:cfRule type="iconSet" priority="6" id="{84CE7413-78F0-4E42-B0FD-1BE172E556E4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D54</xm:sqref>
        </x14:conditionalFormatting>
        <x14:conditionalFormatting xmlns:xm="http://schemas.microsoft.com/office/excel/2006/main">
          <x14:cfRule type="iconSet" priority="24" id="{BAB60E7A-D0DE-4438-86E3-B3F9E8B0164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D56</xm:sqref>
        </x14:conditionalFormatting>
        <x14:conditionalFormatting xmlns:xm="http://schemas.microsoft.com/office/excel/2006/main">
          <x14:cfRule type="iconSet" priority="43" id="{1E151191-6B66-45A2-BAE4-FA471E3FA73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E18:K18</xm:sqref>
        </x14:conditionalFormatting>
        <x14:conditionalFormatting xmlns:xm="http://schemas.microsoft.com/office/excel/2006/main">
          <x14:cfRule type="iconSet" priority="41" id="{D795E6D3-F89F-4C6E-B3CF-F4A9129093C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E20:K20</xm:sqref>
        </x14:conditionalFormatting>
        <x14:conditionalFormatting xmlns:xm="http://schemas.microsoft.com/office/excel/2006/main">
          <x14:cfRule type="iconSet" priority="21" id="{5C456A17-DA1B-47D9-A2B6-0B78D2465D8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E22:K22</xm:sqref>
        </x14:conditionalFormatting>
        <x14:conditionalFormatting xmlns:xm="http://schemas.microsoft.com/office/excel/2006/main">
          <x14:cfRule type="iconSet" priority="39" id="{ADF68FCB-CE87-4601-8BFA-86146DC2A136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E24:K24</xm:sqref>
        </x14:conditionalFormatting>
        <x14:conditionalFormatting xmlns:xm="http://schemas.microsoft.com/office/excel/2006/main">
          <x14:cfRule type="iconSet" priority="19" id="{C8167816-B74F-436F-B886-E22F825C035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E26:K26</xm:sqref>
        </x14:conditionalFormatting>
        <x14:conditionalFormatting xmlns:xm="http://schemas.microsoft.com/office/excel/2006/main">
          <x14:cfRule type="iconSet" priority="37" id="{090E0D70-8AFD-4A34-9A13-B24FD2361962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E28:K28</xm:sqref>
        </x14:conditionalFormatting>
        <x14:conditionalFormatting xmlns:xm="http://schemas.microsoft.com/office/excel/2006/main">
          <x14:cfRule type="iconSet" priority="17" id="{7740995A-1C79-4C29-AC17-96138FEE009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E30:K30</xm:sqref>
        </x14:conditionalFormatting>
        <x14:conditionalFormatting xmlns:xm="http://schemas.microsoft.com/office/excel/2006/main">
          <x14:cfRule type="iconSet" priority="35" id="{336C5CE7-A48F-44EA-B9E0-3C4F6C7C6241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E32:K32</xm:sqref>
        </x14:conditionalFormatting>
        <x14:conditionalFormatting xmlns:xm="http://schemas.microsoft.com/office/excel/2006/main">
          <x14:cfRule type="iconSet" priority="15" id="{B9AD804C-74E8-4491-B44B-0072BD68807F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E34:K34</xm:sqref>
        </x14:conditionalFormatting>
        <x14:conditionalFormatting xmlns:xm="http://schemas.microsoft.com/office/excel/2006/main">
          <x14:cfRule type="iconSet" priority="33" id="{DFC74678-297C-4AB2-A835-C9A5A226FB1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E36:K36</xm:sqref>
        </x14:conditionalFormatting>
        <x14:conditionalFormatting xmlns:xm="http://schemas.microsoft.com/office/excel/2006/main">
          <x14:cfRule type="iconSet" priority="13" id="{A3AC0381-E5A8-4568-84C2-B8906406D50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E38:K38</xm:sqref>
        </x14:conditionalFormatting>
        <x14:conditionalFormatting xmlns:xm="http://schemas.microsoft.com/office/excel/2006/main">
          <x14:cfRule type="iconSet" priority="31" id="{AE680661-8B03-4C9C-9BBA-100A33A9CF0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E40:K40</xm:sqref>
        </x14:conditionalFormatting>
        <x14:conditionalFormatting xmlns:xm="http://schemas.microsoft.com/office/excel/2006/main">
          <x14:cfRule type="iconSet" priority="11" id="{9A2EF8AB-71D7-45C1-B740-FE48EA363DF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E42:K42</xm:sqref>
        </x14:conditionalFormatting>
        <x14:conditionalFormatting xmlns:xm="http://schemas.microsoft.com/office/excel/2006/main">
          <x14:cfRule type="iconSet" priority="29" id="{6035AD28-8859-4A8F-AC3F-20BB72AD9D8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E44:K44</xm:sqref>
        </x14:conditionalFormatting>
        <x14:conditionalFormatting xmlns:xm="http://schemas.microsoft.com/office/excel/2006/main">
          <x14:cfRule type="iconSet" priority="9" id="{12D3E829-BD99-4F00-960D-E1C6EB37FF2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E46:K46</xm:sqref>
        </x14:conditionalFormatting>
        <x14:conditionalFormatting xmlns:xm="http://schemas.microsoft.com/office/excel/2006/main">
          <x14:cfRule type="iconSet" priority="27" id="{2B465D4B-D8A7-446C-8535-1A263C2FFB9E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E48:K48</xm:sqref>
        </x14:conditionalFormatting>
        <x14:conditionalFormatting xmlns:xm="http://schemas.microsoft.com/office/excel/2006/main">
          <x14:cfRule type="iconSet" priority="7" id="{357E01BE-1461-4054-89E6-1B3520CDC78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E50:K50</xm:sqref>
        </x14:conditionalFormatting>
        <x14:conditionalFormatting xmlns:xm="http://schemas.microsoft.com/office/excel/2006/main">
          <x14:cfRule type="iconSet" priority="25" id="{5BB09997-4495-4A5C-A8BF-811F0EF5FB35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E52:K52</xm:sqref>
        </x14:conditionalFormatting>
        <x14:conditionalFormatting xmlns:xm="http://schemas.microsoft.com/office/excel/2006/main">
          <x14:cfRule type="iconSet" priority="5" id="{D47BDEDE-A353-4C6F-B694-110A2566CBAD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E54:K54</xm:sqref>
        </x14:conditionalFormatting>
        <x14:conditionalFormatting xmlns:xm="http://schemas.microsoft.com/office/excel/2006/main">
          <x14:cfRule type="iconSet" priority="23" id="{FEB35EB9-8116-4948-BB46-B6C74195D48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20</xm:f>
              </x14:cfvo>
              <x14:cfIcon iconSet="3Symbols" iconId="0"/>
              <x14:cfIcon iconSet="3Symbols" iconId="0"/>
              <x14:cfIcon iconSet="NoIcons" iconId="0"/>
            </x14:iconSet>
          </x14:cfRule>
          <xm:sqref>E56:K56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9ACEE-CCFD-4168-B685-3EF25394A7EA}">
  <dimension ref="A1:AD28"/>
  <sheetViews>
    <sheetView workbookViewId="0">
      <selection activeCell="F3" sqref="F3:G3"/>
    </sheetView>
  </sheetViews>
  <sheetFormatPr baseColWidth="10" defaultRowHeight="12.75" x14ac:dyDescent="0.2"/>
  <cols>
    <col min="1" max="16384" width="11.42578125" style="101"/>
  </cols>
  <sheetData>
    <row r="1" spans="1:30" x14ac:dyDescent="0.2">
      <c r="B1" s="101" t="s">
        <v>1143</v>
      </c>
      <c r="C1" s="101" t="s">
        <v>1144</v>
      </c>
      <c r="D1" s="101" t="s">
        <v>1145</v>
      </c>
      <c r="E1" s="101" t="s">
        <v>1146</v>
      </c>
      <c r="F1" s="101" t="s">
        <v>1147</v>
      </c>
      <c r="G1" s="101" t="s">
        <v>1148</v>
      </c>
      <c r="H1" s="101" t="s">
        <v>1149</v>
      </c>
      <c r="I1" s="101" t="s">
        <v>1150</v>
      </c>
      <c r="J1" s="101" t="s">
        <v>1141</v>
      </c>
      <c r="L1" s="102" t="s">
        <v>1403</v>
      </c>
      <c r="U1" s="102" t="s">
        <v>1142</v>
      </c>
      <c r="V1" s="101" t="s">
        <v>1143</v>
      </c>
      <c r="W1" s="101" t="s">
        <v>1144</v>
      </c>
      <c r="X1" s="101" t="s">
        <v>1145</v>
      </c>
      <c r="Y1" s="101" t="s">
        <v>1146</v>
      </c>
      <c r="Z1" s="101" t="s">
        <v>1147</v>
      </c>
      <c r="AA1" s="101" t="s">
        <v>1148</v>
      </c>
      <c r="AB1" s="101" t="s">
        <v>1149</v>
      </c>
      <c r="AC1" s="101" t="s">
        <v>1150</v>
      </c>
      <c r="AD1" s="102" t="s">
        <v>1151</v>
      </c>
    </row>
    <row r="2" spans="1:30" x14ac:dyDescent="0.2">
      <c r="A2" s="101">
        <v>750</v>
      </c>
      <c r="B2" s="101">
        <v>68</v>
      </c>
      <c r="C2" s="101">
        <v>82</v>
      </c>
      <c r="D2" s="101">
        <v>107</v>
      </c>
      <c r="E2" s="101">
        <v>110</v>
      </c>
      <c r="F2" s="101">
        <v>122</v>
      </c>
      <c r="G2" s="101">
        <v>130</v>
      </c>
      <c r="H2" s="101">
        <v>164</v>
      </c>
      <c r="I2" s="101">
        <v>189</v>
      </c>
      <c r="J2" s="101">
        <v>520</v>
      </c>
      <c r="L2" s="101">
        <v>0.85</v>
      </c>
      <c r="M2" s="101">
        <v>0.85</v>
      </c>
      <c r="N2" s="101">
        <v>0.85</v>
      </c>
      <c r="O2" s="101">
        <v>0.85</v>
      </c>
      <c r="P2" s="101">
        <v>0.85</v>
      </c>
      <c r="Q2" s="101">
        <v>0.85</v>
      </c>
      <c r="R2" s="101">
        <v>0.85</v>
      </c>
      <c r="S2" s="101">
        <v>0.85</v>
      </c>
      <c r="U2" s="101">
        <v>900</v>
      </c>
      <c r="V2" s="101">
        <v>93</v>
      </c>
      <c r="W2" s="101">
        <v>131</v>
      </c>
      <c r="X2" s="101">
        <v>175</v>
      </c>
      <c r="Y2" s="101">
        <v>196</v>
      </c>
      <c r="Z2" s="101">
        <v>217</v>
      </c>
      <c r="AA2" s="101">
        <v>232</v>
      </c>
      <c r="AB2" s="101">
        <v>298</v>
      </c>
      <c r="AC2" s="101">
        <v>329</v>
      </c>
    </row>
    <row r="3" spans="1:30" x14ac:dyDescent="0.2">
      <c r="A3" s="101">
        <v>850</v>
      </c>
      <c r="B3" s="101">
        <v>86</v>
      </c>
      <c r="C3" s="101">
        <v>103</v>
      </c>
      <c r="D3" s="101">
        <v>135</v>
      </c>
      <c r="E3" s="101">
        <v>139</v>
      </c>
      <c r="F3" s="101">
        <v>154</v>
      </c>
      <c r="G3" s="101">
        <v>163</v>
      </c>
      <c r="H3" s="101">
        <v>204</v>
      </c>
      <c r="I3" s="101">
        <v>235</v>
      </c>
      <c r="J3" s="101">
        <v>620</v>
      </c>
      <c r="L3" s="101">
        <v>0.85</v>
      </c>
      <c r="M3" s="101">
        <v>0.85</v>
      </c>
      <c r="N3" s="101">
        <v>0.85</v>
      </c>
      <c r="O3" s="101">
        <v>0.85</v>
      </c>
      <c r="P3" s="101">
        <v>0.85</v>
      </c>
      <c r="Q3" s="101">
        <v>0.85</v>
      </c>
      <c r="R3" s="101">
        <v>0.85</v>
      </c>
      <c r="S3" s="101">
        <v>0.85</v>
      </c>
      <c r="U3" s="101">
        <v>1000</v>
      </c>
      <c r="V3" s="101">
        <v>109</v>
      </c>
      <c r="W3" s="101">
        <v>153</v>
      </c>
      <c r="X3" s="101">
        <v>204</v>
      </c>
      <c r="Y3" s="101">
        <v>229</v>
      </c>
      <c r="Z3" s="101">
        <v>253</v>
      </c>
      <c r="AA3" s="101">
        <v>271</v>
      </c>
      <c r="AB3" s="101">
        <v>348</v>
      </c>
      <c r="AC3" s="101">
        <v>384</v>
      </c>
    </row>
    <row r="4" spans="1:30" x14ac:dyDescent="0.2">
      <c r="A4" s="101">
        <v>950</v>
      </c>
      <c r="B4" s="101">
        <v>103</v>
      </c>
      <c r="C4" s="101">
        <v>125</v>
      </c>
      <c r="D4" s="101">
        <v>163</v>
      </c>
      <c r="E4" s="101">
        <v>167</v>
      </c>
      <c r="F4" s="101">
        <v>185</v>
      </c>
      <c r="G4" s="101">
        <v>197</v>
      </c>
      <c r="H4" s="101">
        <v>245</v>
      </c>
      <c r="I4" s="101">
        <v>281</v>
      </c>
      <c r="J4" s="101">
        <v>720</v>
      </c>
      <c r="L4" s="101">
        <v>0.85</v>
      </c>
      <c r="M4" s="101">
        <v>0.85</v>
      </c>
      <c r="N4" s="101">
        <v>0.85</v>
      </c>
      <c r="O4" s="101">
        <v>0.85</v>
      </c>
      <c r="P4" s="101">
        <v>0.85</v>
      </c>
      <c r="Q4" s="101">
        <v>0.85</v>
      </c>
      <c r="R4" s="101">
        <v>0.85</v>
      </c>
      <c r="S4" s="101">
        <v>0.85</v>
      </c>
      <c r="U4" s="101">
        <v>1100</v>
      </c>
      <c r="V4" s="101">
        <v>124</v>
      </c>
      <c r="W4" s="101">
        <v>174</v>
      </c>
      <c r="X4" s="101">
        <v>233</v>
      </c>
      <c r="Y4" s="101">
        <v>262</v>
      </c>
      <c r="Z4" s="101">
        <v>290</v>
      </c>
      <c r="AA4" s="101">
        <v>310</v>
      </c>
      <c r="AB4" s="101">
        <v>398</v>
      </c>
      <c r="AC4" s="101">
        <v>438</v>
      </c>
    </row>
    <row r="5" spans="1:30" x14ac:dyDescent="0.2">
      <c r="A5" s="101">
        <v>1050</v>
      </c>
      <c r="B5" s="101">
        <v>120</v>
      </c>
      <c r="C5" s="101">
        <v>146</v>
      </c>
      <c r="D5" s="101">
        <v>190</v>
      </c>
      <c r="E5" s="101">
        <v>196</v>
      </c>
      <c r="F5" s="101">
        <v>217</v>
      </c>
      <c r="G5" s="101">
        <v>230</v>
      </c>
      <c r="H5" s="101">
        <v>285</v>
      </c>
      <c r="I5" s="101">
        <v>328</v>
      </c>
      <c r="J5" s="101">
        <v>820</v>
      </c>
      <c r="L5" s="101">
        <v>0.85</v>
      </c>
      <c r="M5" s="101">
        <v>0.85</v>
      </c>
      <c r="N5" s="101">
        <v>0.85</v>
      </c>
      <c r="O5" s="101">
        <v>0.85</v>
      </c>
      <c r="P5" s="101">
        <v>0.85</v>
      </c>
      <c r="Q5" s="101">
        <v>0.85</v>
      </c>
      <c r="R5" s="101">
        <v>0.85</v>
      </c>
      <c r="S5" s="101">
        <v>0.85</v>
      </c>
      <c r="U5" s="101">
        <v>1200</v>
      </c>
      <c r="V5" s="101">
        <v>140</v>
      </c>
      <c r="W5" s="101">
        <v>196</v>
      </c>
      <c r="X5" s="101">
        <v>262</v>
      </c>
      <c r="Y5" s="101">
        <v>294</v>
      </c>
      <c r="Z5" s="101">
        <v>326</v>
      </c>
      <c r="AA5" s="101">
        <v>349</v>
      </c>
      <c r="AB5" s="101">
        <v>447</v>
      </c>
      <c r="AC5" s="101">
        <v>493</v>
      </c>
    </row>
    <row r="6" spans="1:30" x14ac:dyDescent="0.2">
      <c r="A6" s="101">
        <v>1150</v>
      </c>
      <c r="B6" s="101">
        <v>137</v>
      </c>
      <c r="C6" s="101">
        <v>167</v>
      </c>
      <c r="D6" s="101">
        <v>218</v>
      </c>
      <c r="E6" s="101">
        <v>224</v>
      </c>
      <c r="F6" s="101">
        <v>249</v>
      </c>
      <c r="G6" s="101">
        <v>264</v>
      </c>
      <c r="H6" s="101">
        <v>325</v>
      </c>
      <c r="I6" s="101">
        <v>374</v>
      </c>
      <c r="J6" s="101">
        <v>920</v>
      </c>
      <c r="L6" s="101">
        <v>0.85</v>
      </c>
      <c r="M6" s="101">
        <v>0.85</v>
      </c>
      <c r="N6" s="101">
        <v>0.85</v>
      </c>
      <c r="O6" s="101">
        <v>0.85</v>
      </c>
      <c r="P6" s="101">
        <v>0.85</v>
      </c>
      <c r="Q6" s="101">
        <v>0.85</v>
      </c>
      <c r="R6" s="101">
        <v>0.85</v>
      </c>
      <c r="S6" s="101">
        <v>0.85</v>
      </c>
      <c r="U6" s="101">
        <v>1300</v>
      </c>
      <c r="V6" s="101">
        <v>155</v>
      </c>
      <c r="W6" s="101">
        <v>218</v>
      </c>
      <c r="X6" s="101">
        <v>291</v>
      </c>
      <c r="Y6" s="101">
        <v>327</v>
      </c>
      <c r="Z6" s="101">
        <v>362</v>
      </c>
      <c r="AA6" s="101">
        <v>387</v>
      </c>
      <c r="AB6" s="101">
        <v>497</v>
      </c>
      <c r="AC6" s="101">
        <v>548</v>
      </c>
    </row>
    <row r="7" spans="1:30" x14ac:dyDescent="0.2">
      <c r="A7" s="101">
        <v>1250</v>
      </c>
      <c r="B7" s="101">
        <v>154</v>
      </c>
      <c r="C7" s="101">
        <v>189</v>
      </c>
      <c r="D7" s="101">
        <v>246</v>
      </c>
      <c r="E7" s="101">
        <v>253</v>
      </c>
      <c r="F7" s="101">
        <v>280</v>
      </c>
      <c r="G7" s="101">
        <v>298</v>
      </c>
      <c r="H7" s="101">
        <v>365</v>
      </c>
      <c r="I7" s="101">
        <v>420</v>
      </c>
      <c r="J7" s="101">
        <v>1020</v>
      </c>
      <c r="L7" s="101">
        <v>0.85</v>
      </c>
      <c r="M7" s="101">
        <v>0.85</v>
      </c>
      <c r="N7" s="101">
        <v>0.85</v>
      </c>
      <c r="O7" s="101">
        <v>0.85</v>
      </c>
      <c r="P7" s="101">
        <v>0.85</v>
      </c>
      <c r="Q7" s="101">
        <v>0.85</v>
      </c>
      <c r="R7" s="101">
        <v>0.85</v>
      </c>
      <c r="S7" s="101">
        <v>0.85</v>
      </c>
      <c r="U7" s="101">
        <v>1400</v>
      </c>
      <c r="V7" s="101">
        <v>171</v>
      </c>
      <c r="W7" s="101">
        <v>240</v>
      </c>
      <c r="X7" s="101">
        <v>320</v>
      </c>
      <c r="Y7" s="101">
        <v>360</v>
      </c>
      <c r="Z7" s="101">
        <v>398</v>
      </c>
      <c r="AA7" s="101">
        <v>426</v>
      </c>
      <c r="AB7" s="101">
        <v>547</v>
      </c>
      <c r="AC7" s="101">
        <v>603</v>
      </c>
    </row>
    <row r="8" spans="1:30" x14ac:dyDescent="0.2">
      <c r="A8" s="101">
        <v>1350</v>
      </c>
      <c r="B8" s="101">
        <v>171</v>
      </c>
      <c r="C8" s="101">
        <v>209</v>
      </c>
      <c r="D8" s="101">
        <v>273</v>
      </c>
      <c r="E8" s="101">
        <v>281</v>
      </c>
      <c r="F8" s="101">
        <v>312</v>
      </c>
      <c r="G8" s="101">
        <v>331</v>
      </c>
      <c r="H8" s="101">
        <v>405</v>
      </c>
      <c r="I8" s="101">
        <v>466</v>
      </c>
      <c r="J8" s="101">
        <v>1120</v>
      </c>
      <c r="L8" s="101">
        <v>0.85</v>
      </c>
      <c r="M8" s="101">
        <v>0.85</v>
      </c>
      <c r="N8" s="101">
        <v>0.85</v>
      </c>
      <c r="O8" s="101">
        <v>0.85</v>
      </c>
      <c r="P8" s="101">
        <v>0.85</v>
      </c>
      <c r="Q8" s="101">
        <v>0.85</v>
      </c>
      <c r="R8" s="101">
        <v>0.85</v>
      </c>
      <c r="S8" s="101">
        <v>0.85</v>
      </c>
      <c r="U8" s="101">
        <v>1500</v>
      </c>
      <c r="V8" s="101">
        <v>186</v>
      </c>
      <c r="W8" s="101">
        <v>262</v>
      </c>
      <c r="X8" s="101">
        <v>349</v>
      </c>
      <c r="Y8" s="101">
        <v>392</v>
      </c>
      <c r="Z8" s="101">
        <v>434</v>
      </c>
      <c r="AA8" s="101">
        <v>465</v>
      </c>
      <c r="AB8" s="101">
        <v>596</v>
      </c>
      <c r="AC8" s="101">
        <v>658</v>
      </c>
    </row>
    <row r="9" spans="1:30" x14ac:dyDescent="0.2">
      <c r="A9" s="101">
        <v>1550</v>
      </c>
      <c r="B9" s="101">
        <v>206</v>
      </c>
      <c r="C9" s="101">
        <v>252</v>
      </c>
      <c r="D9" s="101">
        <v>328</v>
      </c>
      <c r="E9" s="101">
        <v>337</v>
      </c>
      <c r="F9" s="101">
        <v>374</v>
      </c>
      <c r="G9" s="101">
        <v>397</v>
      </c>
      <c r="H9" s="101">
        <v>486</v>
      </c>
      <c r="I9" s="101">
        <v>559</v>
      </c>
      <c r="J9" s="101">
        <v>1320</v>
      </c>
      <c r="L9" s="101">
        <v>0.85</v>
      </c>
      <c r="M9" s="101">
        <v>0.85</v>
      </c>
      <c r="N9" s="101">
        <v>0.85</v>
      </c>
      <c r="O9" s="101">
        <v>0.85</v>
      </c>
      <c r="P9" s="101">
        <v>0.85</v>
      </c>
      <c r="Q9" s="101">
        <v>0.85</v>
      </c>
      <c r="R9" s="101">
        <v>0.85</v>
      </c>
      <c r="S9" s="101">
        <v>0.85</v>
      </c>
      <c r="U9" s="101">
        <v>1600</v>
      </c>
      <c r="V9" s="101">
        <v>202</v>
      </c>
      <c r="W9" s="101">
        <v>283</v>
      </c>
      <c r="X9" s="101">
        <v>378</v>
      </c>
      <c r="Y9" s="101">
        <v>425</v>
      </c>
      <c r="Z9" s="101">
        <v>471</v>
      </c>
      <c r="AA9" s="101">
        <v>504</v>
      </c>
      <c r="AB9" s="101">
        <v>646</v>
      </c>
      <c r="AC9" s="101">
        <v>712</v>
      </c>
    </row>
    <row r="10" spans="1:30" x14ac:dyDescent="0.2">
      <c r="A10" s="101">
        <v>1750</v>
      </c>
      <c r="B10" s="101">
        <v>240</v>
      </c>
      <c r="C10" s="101">
        <v>294</v>
      </c>
      <c r="D10" s="101">
        <v>382</v>
      </c>
      <c r="E10" s="101">
        <v>393</v>
      </c>
      <c r="F10" s="101">
        <v>436</v>
      </c>
      <c r="G10" s="101">
        <v>463</v>
      </c>
      <c r="H10" s="101">
        <v>568</v>
      </c>
      <c r="I10" s="101">
        <v>654</v>
      </c>
      <c r="J10" s="101">
        <v>1520</v>
      </c>
      <c r="L10" s="101">
        <v>0.85</v>
      </c>
      <c r="M10" s="101">
        <v>0.85</v>
      </c>
      <c r="N10" s="101">
        <v>0.85</v>
      </c>
      <c r="O10" s="101">
        <v>0.85</v>
      </c>
      <c r="P10" s="101">
        <v>0.85</v>
      </c>
      <c r="Q10" s="101">
        <v>0.85</v>
      </c>
      <c r="R10" s="101">
        <v>0.85</v>
      </c>
      <c r="S10" s="101">
        <v>0.85</v>
      </c>
      <c r="U10" s="101">
        <v>1700</v>
      </c>
      <c r="V10" s="101">
        <v>217</v>
      </c>
      <c r="W10" s="101">
        <v>305</v>
      </c>
      <c r="X10" s="101">
        <v>407</v>
      </c>
      <c r="Y10" s="101">
        <v>458</v>
      </c>
      <c r="Z10" s="101">
        <v>507</v>
      </c>
      <c r="AA10" s="101">
        <v>542</v>
      </c>
      <c r="AB10" s="101">
        <v>696</v>
      </c>
      <c r="AC10" s="101">
        <v>767</v>
      </c>
    </row>
    <row r="11" spans="1:30" x14ac:dyDescent="0.2">
      <c r="A11" s="101">
        <v>1950</v>
      </c>
      <c r="B11" s="101">
        <v>274</v>
      </c>
      <c r="C11" s="101">
        <v>335</v>
      </c>
      <c r="D11" s="101">
        <v>437</v>
      </c>
      <c r="E11" s="101">
        <v>449</v>
      </c>
      <c r="F11" s="101">
        <v>498</v>
      </c>
      <c r="G11" s="101">
        <v>529</v>
      </c>
      <c r="H11" s="101">
        <v>648</v>
      </c>
      <c r="I11" s="101">
        <v>746</v>
      </c>
      <c r="J11" s="101">
        <v>1720</v>
      </c>
      <c r="L11" s="101">
        <v>0.85</v>
      </c>
      <c r="M11" s="101">
        <v>0.85</v>
      </c>
      <c r="N11" s="101">
        <v>0.85</v>
      </c>
      <c r="O11" s="101">
        <v>0.85</v>
      </c>
      <c r="P11" s="101">
        <v>0.85</v>
      </c>
      <c r="Q11" s="101">
        <v>0.85</v>
      </c>
      <c r="R11" s="101">
        <v>0.85</v>
      </c>
      <c r="S11" s="101">
        <v>0.85</v>
      </c>
      <c r="U11" s="101">
        <v>1850</v>
      </c>
      <c r="V11" s="101">
        <v>240</v>
      </c>
      <c r="W11" s="101">
        <v>338</v>
      </c>
      <c r="X11" s="101">
        <v>451</v>
      </c>
      <c r="Y11" s="101">
        <v>507</v>
      </c>
      <c r="Z11" s="101">
        <v>561</v>
      </c>
      <c r="AA11" s="101">
        <v>600</v>
      </c>
      <c r="AB11" s="101">
        <v>770</v>
      </c>
      <c r="AC11" s="101">
        <v>849</v>
      </c>
    </row>
    <row r="12" spans="1:30" x14ac:dyDescent="0.2">
      <c r="A12" s="101">
        <v>2150</v>
      </c>
      <c r="B12" s="101">
        <v>308</v>
      </c>
      <c r="C12" s="101">
        <v>378</v>
      </c>
      <c r="D12" s="101">
        <v>491</v>
      </c>
      <c r="E12" s="101">
        <v>505</v>
      </c>
      <c r="F12" s="101">
        <v>561</v>
      </c>
      <c r="G12" s="101">
        <v>595</v>
      </c>
      <c r="H12" s="101">
        <v>730</v>
      </c>
      <c r="I12" s="101">
        <v>840</v>
      </c>
      <c r="J12" s="101">
        <v>1920</v>
      </c>
      <c r="L12" s="101">
        <v>0.85</v>
      </c>
      <c r="M12" s="101">
        <v>0.85</v>
      </c>
      <c r="N12" s="101">
        <v>0.85</v>
      </c>
      <c r="O12" s="101">
        <v>0.85</v>
      </c>
      <c r="P12" s="101">
        <v>0.85</v>
      </c>
      <c r="Q12" s="101">
        <v>0.85</v>
      </c>
      <c r="R12" s="101">
        <v>0.85</v>
      </c>
      <c r="S12" s="101">
        <v>0.85</v>
      </c>
      <c r="U12" s="101">
        <v>2000</v>
      </c>
      <c r="V12" s="101">
        <v>264</v>
      </c>
      <c r="W12" s="101">
        <v>371</v>
      </c>
      <c r="X12" s="101">
        <v>495</v>
      </c>
      <c r="Y12" s="101">
        <v>556</v>
      </c>
      <c r="Z12" s="101">
        <v>615</v>
      </c>
      <c r="AA12" s="101">
        <v>658</v>
      </c>
      <c r="AB12" s="101">
        <v>845</v>
      </c>
      <c r="AC12" s="101">
        <v>932</v>
      </c>
    </row>
    <row r="13" spans="1:30" x14ac:dyDescent="0.2">
      <c r="A13" s="101">
        <v>2350</v>
      </c>
      <c r="B13" s="101">
        <v>343</v>
      </c>
      <c r="C13" s="101">
        <v>419</v>
      </c>
      <c r="D13" s="101">
        <v>546</v>
      </c>
      <c r="E13" s="101">
        <v>561</v>
      </c>
      <c r="F13" s="101">
        <v>623</v>
      </c>
      <c r="G13" s="101">
        <v>661</v>
      </c>
      <c r="H13" s="101">
        <v>811</v>
      </c>
      <c r="I13" s="101">
        <v>933</v>
      </c>
      <c r="J13" s="101">
        <v>2120</v>
      </c>
      <c r="L13" s="101">
        <v>0.85</v>
      </c>
      <c r="M13" s="101">
        <v>0.85</v>
      </c>
      <c r="N13" s="101">
        <v>0.85</v>
      </c>
      <c r="O13" s="101">
        <v>0.85</v>
      </c>
      <c r="P13" s="101">
        <v>0.85</v>
      </c>
      <c r="Q13" s="101">
        <v>0.85</v>
      </c>
      <c r="R13" s="101">
        <v>0.85</v>
      </c>
      <c r="S13" s="101">
        <v>0.85</v>
      </c>
      <c r="U13" s="101">
        <v>2150</v>
      </c>
      <c r="V13" s="101">
        <v>287</v>
      </c>
      <c r="W13" s="101">
        <v>403</v>
      </c>
      <c r="X13" s="101">
        <v>538</v>
      </c>
      <c r="Y13" s="101">
        <v>605</v>
      </c>
      <c r="Z13" s="101">
        <v>670</v>
      </c>
      <c r="AA13" s="101">
        <v>717</v>
      </c>
      <c r="AB13" s="101">
        <v>919</v>
      </c>
      <c r="AC13" s="101">
        <v>1014</v>
      </c>
    </row>
    <row r="14" spans="1:30" x14ac:dyDescent="0.2">
      <c r="A14" s="101">
        <v>2550</v>
      </c>
      <c r="B14" s="101">
        <v>377</v>
      </c>
      <c r="C14" s="101">
        <v>461</v>
      </c>
      <c r="D14" s="101">
        <v>601</v>
      </c>
      <c r="E14" s="101">
        <v>618</v>
      </c>
      <c r="F14" s="101">
        <v>685</v>
      </c>
      <c r="G14" s="101">
        <v>728</v>
      </c>
      <c r="H14" s="101">
        <v>891</v>
      </c>
      <c r="I14" s="101">
        <v>1026</v>
      </c>
      <c r="J14" s="101">
        <v>2320</v>
      </c>
      <c r="L14" s="101">
        <v>0.85</v>
      </c>
      <c r="M14" s="101">
        <v>0.85</v>
      </c>
      <c r="N14" s="101">
        <v>0.85</v>
      </c>
      <c r="O14" s="101">
        <v>0.85</v>
      </c>
      <c r="P14" s="101">
        <v>0.85</v>
      </c>
      <c r="Q14" s="101">
        <v>0.85</v>
      </c>
      <c r="R14" s="101">
        <v>0.85</v>
      </c>
      <c r="S14" s="101">
        <v>0.85</v>
      </c>
      <c r="U14" s="101">
        <v>2300</v>
      </c>
      <c r="V14" s="101">
        <v>310</v>
      </c>
      <c r="W14" s="101">
        <v>436</v>
      </c>
      <c r="X14" s="101">
        <v>582</v>
      </c>
      <c r="Y14" s="101">
        <v>654</v>
      </c>
      <c r="Z14" s="101">
        <v>724</v>
      </c>
      <c r="AA14" s="101">
        <v>775</v>
      </c>
      <c r="AB14" s="101">
        <v>994</v>
      </c>
      <c r="AC14" s="101">
        <v>1096</v>
      </c>
    </row>
    <row r="15" spans="1:30" x14ac:dyDescent="0.2">
      <c r="A15" s="101">
        <v>2750</v>
      </c>
      <c r="B15" s="101">
        <v>411</v>
      </c>
      <c r="C15" s="101">
        <v>503</v>
      </c>
      <c r="D15" s="101">
        <v>655</v>
      </c>
      <c r="E15" s="101">
        <v>674</v>
      </c>
      <c r="F15" s="101">
        <v>748</v>
      </c>
      <c r="G15" s="101">
        <v>794</v>
      </c>
      <c r="H15" s="101">
        <v>973</v>
      </c>
      <c r="I15" s="101">
        <v>1120</v>
      </c>
      <c r="J15" s="101">
        <v>2520</v>
      </c>
      <c r="L15" s="101">
        <v>0.85</v>
      </c>
      <c r="M15" s="101">
        <v>0.85</v>
      </c>
      <c r="N15" s="101">
        <v>0.85</v>
      </c>
      <c r="O15" s="101">
        <v>0.85</v>
      </c>
      <c r="P15" s="101">
        <v>0.85</v>
      </c>
      <c r="Q15" s="101">
        <v>0.85</v>
      </c>
      <c r="R15" s="101">
        <v>0.85</v>
      </c>
      <c r="S15" s="101">
        <v>0.85</v>
      </c>
      <c r="U15" s="101">
        <v>2450</v>
      </c>
      <c r="V15" s="101">
        <v>333</v>
      </c>
      <c r="W15" s="101">
        <v>469</v>
      </c>
      <c r="X15" s="101">
        <v>626</v>
      </c>
      <c r="Y15" s="101">
        <v>703</v>
      </c>
      <c r="Z15" s="101">
        <v>778</v>
      </c>
      <c r="AA15" s="101">
        <v>833</v>
      </c>
      <c r="AB15" s="101">
        <v>1069</v>
      </c>
      <c r="AC15" s="101">
        <v>1178</v>
      </c>
    </row>
    <row r="16" spans="1:30" x14ac:dyDescent="0.2">
      <c r="A16" s="101">
        <v>2950</v>
      </c>
      <c r="B16" s="101">
        <v>446</v>
      </c>
      <c r="C16" s="101">
        <v>545</v>
      </c>
      <c r="D16" s="101">
        <v>710</v>
      </c>
      <c r="E16" s="101">
        <v>730</v>
      </c>
      <c r="F16" s="101">
        <v>810</v>
      </c>
      <c r="G16" s="101">
        <v>860</v>
      </c>
      <c r="H16" s="101">
        <v>1054</v>
      </c>
      <c r="I16" s="101">
        <v>1213</v>
      </c>
      <c r="J16" s="101">
        <v>2720</v>
      </c>
      <c r="L16" s="101">
        <v>0.85</v>
      </c>
      <c r="M16" s="101">
        <v>0.85</v>
      </c>
      <c r="N16" s="101">
        <v>0.85</v>
      </c>
      <c r="O16" s="101">
        <v>0.85</v>
      </c>
      <c r="P16" s="101">
        <v>0.85</v>
      </c>
      <c r="Q16" s="101">
        <v>0.85</v>
      </c>
      <c r="R16" s="101">
        <v>0.85</v>
      </c>
      <c r="S16" s="101">
        <v>0.85</v>
      </c>
      <c r="U16" s="101">
        <v>2600</v>
      </c>
      <c r="V16" s="101">
        <v>357</v>
      </c>
      <c r="W16" s="101">
        <v>501</v>
      </c>
      <c r="X16" s="101">
        <v>669</v>
      </c>
      <c r="Y16" s="101">
        <v>752</v>
      </c>
      <c r="Z16" s="101">
        <v>833</v>
      </c>
      <c r="AA16" s="101">
        <v>891</v>
      </c>
      <c r="AB16" s="101">
        <v>1143</v>
      </c>
      <c r="AC16" s="101">
        <v>1260</v>
      </c>
    </row>
    <row r="17" spans="1:29" x14ac:dyDescent="0.2">
      <c r="A17" s="101">
        <v>3150</v>
      </c>
      <c r="B17" s="101">
        <v>480</v>
      </c>
      <c r="C17" s="101">
        <v>587</v>
      </c>
      <c r="D17" s="101">
        <v>764</v>
      </c>
      <c r="E17" s="101">
        <v>785</v>
      </c>
      <c r="F17" s="101">
        <v>872</v>
      </c>
      <c r="G17" s="101">
        <v>925</v>
      </c>
      <c r="H17" s="101">
        <v>1135</v>
      </c>
      <c r="I17" s="101">
        <v>1306</v>
      </c>
      <c r="J17" s="101">
        <v>2920</v>
      </c>
      <c r="L17" s="101">
        <v>0.85</v>
      </c>
      <c r="M17" s="101">
        <v>0.85</v>
      </c>
      <c r="N17" s="101">
        <v>0.85</v>
      </c>
      <c r="O17" s="101">
        <v>0.85</v>
      </c>
      <c r="P17" s="101">
        <v>0.85</v>
      </c>
      <c r="Q17" s="101">
        <v>0.85</v>
      </c>
      <c r="R17" s="101">
        <v>0.85</v>
      </c>
      <c r="S17" s="101">
        <v>0.85</v>
      </c>
      <c r="U17" s="101">
        <v>2750</v>
      </c>
      <c r="V17" s="101">
        <v>380</v>
      </c>
      <c r="W17" s="101">
        <v>534</v>
      </c>
      <c r="X17" s="101">
        <v>713</v>
      </c>
      <c r="Y17" s="101">
        <v>801</v>
      </c>
      <c r="Z17" s="101">
        <v>887</v>
      </c>
      <c r="AA17" s="101">
        <v>949</v>
      </c>
      <c r="AB17" s="101">
        <v>1218</v>
      </c>
      <c r="AC17" s="101">
        <v>1343</v>
      </c>
    </row>
    <row r="18" spans="1:29" x14ac:dyDescent="0.2">
      <c r="A18" s="101">
        <v>3350</v>
      </c>
      <c r="B18" s="101">
        <v>514</v>
      </c>
      <c r="C18" s="101">
        <v>629</v>
      </c>
      <c r="D18" s="101">
        <v>819</v>
      </c>
      <c r="E18" s="101">
        <v>842</v>
      </c>
      <c r="F18" s="101">
        <v>935</v>
      </c>
      <c r="G18" s="101">
        <v>992</v>
      </c>
      <c r="H18" s="101">
        <v>1216</v>
      </c>
      <c r="I18" s="101">
        <v>1399</v>
      </c>
      <c r="J18" s="101">
        <v>3120</v>
      </c>
      <c r="L18" s="101">
        <v>0.85</v>
      </c>
      <c r="M18" s="101">
        <v>0.85</v>
      </c>
      <c r="N18" s="101">
        <v>0.85</v>
      </c>
      <c r="O18" s="101">
        <v>0.85</v>
      </c>
      <c r="P18" s="101">
        <v>0.85</v>
      </c>
      <c r="Q18" s="101">
        <v>0.85</v>
      </c>
      <c r="R18" s="101">
        <v>0.85</v>
      </c>
      <c r="S18" s="101">
        <v>0.85</v>
      </c>
      <c r="U18" s="101">
        <v>2900</v>
      </c>
      <c r="V18" s="101">
        <v>403</v>
      </c>
      <c r="W18" s="101">
        <v>567</v>
      </c>
      <c r="X18" s="101">
        <v>757</v>
      </c>
      <c r="Y18" s="101">
        <v>850</v>
      </c>
      <c r="Z18" s="101">
        <v>941</v>
      </c>
      <c r="AA18" s="101">
        <v>1007</v>
      </c>
      <c r="AB18" s="101">
        <v>1292</v>
      </c>
      <c r="AC18" s="101">
        <v>1425</v>
      </c>
    </row>
    <row r="19" spans="1:29" x14ac:dyDescent="0.2">
      <c r="A19" s="101">
        <v>3550</v>
      </c>
      <c r="B19" s="101">
        <v>548</v>
      </c>
      <c r="C19" s="101">
        <v>671</v>
      </c>
      <c r="D19" s="101">
        <v>874</v>
      </c>
      <c r="E19" s="101">
        <v>899</v>
      </c>
      <c r="F19" s="101">
        <v>997</v>
      </c>
      <c r="G19" s="101">
        <v>1059</v>
      </c>
      <c r="H19" s="101">
        <v>1297</v>
      </c>
      <c r="I19" s="101">
        <v>1493</v>
      </c>
      <c r="J19" s="101">
        <v>3320</v>
      </c>
      <c r="L19" s="101">
        <v>0.85</v>
      </c>
      <c r="M19" s="101">
        <v>0.85</v>
      </c>
      <c r="N19" s="101">
        <v>0.85</v>
      </c>
      <c r="O19" s="101">
        <v>0.85</v>
      </c>
      <c r="P19" s="101">
        <v>0.85</v>
      </c>
      <c r="Q19" s="101">
        <v>0.85</v>
      </c>
      <c r="R19" s="101">
        <v>0.85</v>
      </c>
      <c r="S19" s="101">
        <v>0.85</v>
      </c>
      <c r="U19" s="101">
        <v>3050</v>
      </c>
      <c r="V19" s="101">
        <v>426</v>
      </c>
      <c r="W19" s="101">
        <v>600</v>
      </c>
      <c r="X19" s="101">
        <v>800</v>
      </c>
      <c r="Y19" s="101">
        <v>899</v>
      </c>
      <c r="Z19" s="101">
        <v>996</v>
      </c>
      <c r="AA19" s="101">
        <v>1065</v>
      </c>
      <c r="AB19" s="101">
        <v>1367</v>
      </c>
      <c r="AC19" s="101">
        <v>1507</v>
      </c>
    </row>
    <row r="20" spans="1:29" x14ac:dyDescent="0.2">
      <c r="A20" s="101">
        <v>3750</v>
      </c>
      <c r="B20" s="101">
        <v>582</v>
      </c>
      <c r="C20" s="101">
        <v>713</v>
      </c>
      <c r="D20" s="101">
        <v>928</v>
      </c>
      <c r="E20" s="101">
        <v>954</v>
      </c>
      <c r="F20" s="101">
        <v>1059</v>
      </c>
      <c r="G20" s="101">
        <v>1124</v>
      </c>
      <c r="H20" s="101">
        <v>1378</v>
      </c>
      <c r="I20" s="101">
        <v>1586</v>
      </c>
      <c r="J20" s="101">
        <v>3520</v>
      </c>
      <c r="L20" s="101">
        <v>0.85</v>
      </c>
      <c r="M20" s="101">
        <v>0.85</v>
      </c>
      <c r="N20" s="101">
        <v>0.85</v>
      </c>
      <c r="O20" s="101">
        <v>0.85</v>
      </c>
      <c r="P20" s="101">
        <v>0.85</v>
      </c>
      <c r="Q20" s="101">
        <v>0.85</v>
      </c>
      <c r="R20" s="101">
        <v>0.85</v>
      </c>
      <c r="S20" s="101">
        <v>0.85</v>
      </c>
      <c r="U20" s="101">
        <v>3200</v>
      </c>
      <c r="V20" s="101">
        <v>450</v>
      </c>
      <c r="W20" s="101">
        <v>632</v>
      </c>
      <c r="X20" s="101">
        <v>844</v>
      </c>
      <c r="Y20" s="101">
        <v>948</v>
      </c>
      <c r="Z20" s="101">
        <v>1050</v>
      </c>
      <c r="AA20" s="101">
        <v>1123</v>
      </c>
      <c r="AB20" s="101">
        <v>1441</v>
      </c>
      <c r="AC20" s="101">
        <v>1589</v>
      </c>
    </row>
    <row r="21" spans="1:29" x14ac:dyDescent="0.2">
      <c r="A21" s="101">
        <v>3950</v>
      </c>
      <c r="B21" s="101">
        <v>617</v>
      </c>
      <c r="C21" s="101">
        <v>755</v>
      </c>
      <c r="D21" s="101">
        <v>982</v>
      </c>
      <c r="E21" s="101">
        <v>1010</v>
      </c>
      <c r="F21" s="101">
        <v>1120</v>
      </c>
      <c r="G21" s="101">
        <v>1189</v>
      </c>
      <c r="H21" s="101">
        <v>1459</v>
      </c>
      <c r="I21" s="101">
        <v>1679</v>
      </c>
      <c r="J21" s="101">
        <v>3720</v>
      </c>
      <c r="L21" s="101">
        <v>0.85</v>
      </c>
      <c r="M21" s="101">
        <v>0.85</v>
      </c>
      <c r="N21" s="101">
        <v>0.85</v>
      </c>
      <c r="O21" s="101">
        <v>0.85</v>
      </c>
      <c r="P21" s="101">
        <v>0.85</v>
      </c>
      <c r="Q21" s="101">
        <v>0.85</v>
      </c>
      <c r="R21" s="101">
        <v>0.85</v>
      </c>
      <c r="S21" s="101">
        <v>0.85</v>
      </c>
      <c r="U21" s="101">
        <v>3350</v>
      </c>
      <c r="V21" s="101">
        <v>473</v>
      </c>
      <c r="W21" s="101">
        <v>665</v>
      </c>
      <c r="X21" s="101">
        <v>888</v>
      </c>
      <c r="Y21" s="101">
        <v>997</v>
      </c>
      <c r="Z21" s="101">
        <v>1104</v>
      </c>
      <c r="AA21" s="101">
        <v>1181</v>
      </c>
      <c r="AB21" s="101">
        <v>1516</v>
      </c>
      <c r="AC21" s="101">
        <v>1671</v>
      </c>
    </row>
    <row r="22" spans="1:29" x14ac:dyDescent="0.2">
      <c r="U22" s="101">
        <v>3500</v>
      </c>
      <c r="V22" s="101">
        <v>496</v>
      </c>
      <c r="W22" s="101">
        <v>698</v>
      </c>
      <c r="X22" s="101">
        <v>931</v>
      </c>
      <c r="Y22" s="101">
        <v>1046</v>
      </c>
      <c r="Z22" s="101">
        <v>1158</v>
      </c>
      <c r="AA22" s="101">
        <v>1239</v>
      </c>
      <c r="AB22" s="101">
        <v>1590</v>
      </c>
      <c r="AC22" s="101">
        <v>1754</v>
      </c>
    </row>
    <row r="23" spans="1:29" x14ac:dyDescent="0.2">
      <c r="U23" s="101">
        <v>3650</v>
      </c>
      <c r="V23" s="101">
        <v>519</v>
      </c>
      <c r="W23" s="101">
        <v>730</v>
      </c>
      <c r="X23" s="101">
        <v>975</v>
      </c>
      <c r="Y23" s="101">
        <v>1095</v>
      </c>
      <c r="Z23" s="101">
        <v>1213</v>
      </c>
      <c r="AA23" s="101">
        <v>1298</v>
      </c>
      <c r="AB23" s="101">
        <v>1665</v>
      </c>
      <c r="AC23" s="101">
        <v>1836</v>
      </c>
    </row>
    <row r="24" spans="1:29" x14ac:dyDescent="0.2">
      <c r="U24" s="101">
        <v>3800</v>
      </c>
      <c r="V24" s="101">
        <v>543</v>
      </c>
      <c r="W24" s="101">
        <v>763</v>
      </c>
      <c r="X24" s="101">
        <v>1019</v>
      </c>
      <c r="Y24" s="101">
        <v>1145</v>
      </c>
      <c r="Z24" s="101">
        <v>1267</v>
      </c>
      <c r="AA24" s="101">
        <v>1356</v>
      </c>
      <c r="AB24" s="101">
        <v>1740</v>
      </c>
      <c r="AC24" s="101">
        <v>1918</v>
      </c>
    </row>
    <row r="25" spans="1:29" x14ac:dyDescent="0.2">
      <c r="U25" s="101">
        <v>3950</v>
      </c>
      <c r="V25" s="101">
        <v>566</v>
      </c>
      <c r="W25" s="101">
        <v>796</v>
      </c>
      <c r="X25" s="101">
        <v>1062</v>
      </c>
      <c r="Y25" s="101">
        <v>1194</v>
      </c>
      <c r="Z25" s="101">
        <v>1321</v>
      </c>
      <c r="AA25" s="101">
        <v>1414</v>
      </c>
      <c r="AB25" s="101">
        <v>1814</v>
      </c>
      <c r="AC25" s="101">
        <v>2000</v>
      </c>
    </row>
    <row r="26" spans="1:29" x14ac:dyDescent="0.2">
      <c r="U26" s="101">
        <v>4100</v>
      </c>
      <c r="V26" s="101">
        <v>589</v>
      </c>
      <c r="W26" s="101">
        <v>828</v>
      </c>
      <c r="X26" s="101">
        <v>1106</v>
      </c>
      <c r="Y26" s="101">
        <v>1243</v>
      </c>
      <c r="Z26" s="101">
        <v>1376</v>
      </c>
      <c r="AA26" s="101">
        <v>1472</v>
      </c>
      <c r="AB26" s="101">
        <v>1889</v>
      </c>
      <c r="AC26" s="101">
        <v>2082</v>
      </c>
    </row>
    <row r="27" spans="1:29" x14ac:dyDescent="0.2">
      <c r="U27" s="101">
        <v>4250</v>
      </c>
      <c r="V27" s="101">
        <v>612</v>
      </c>
      <c r="W27" s="101">
        <v>861</v>
      </c>
      <c r="X27" s="101">
        <v>1149</v>
      </c>
      <c r="Y27" s="101">
        <v>1292</v>
      </c>
      <c r="Z27" s="101">
        <v>1430</v>
      </c>
      <c r="AA27" s="101">
        <v>1530</v>
      </c>
      <c r="AB27" s="101">
        <v>1963</v>
      </c>
      <c r="AC27" s="101">
        <v>2165</v>
      </c>
    </row>
    <row r="28" spans="1:29" x14ac:dyDescent="0.2">
      <c r="U28" s="101">
        <v>4400</v>
      </c>
      <c r="V28" s="101">
        <v>636</v>
      </c>
      <c r="W28" s="101">
        <v>894</v>
      </c>
      <c r="X28" s="101">
        <v>1193</v>
      </c>
      <c r="Y28" s="101">
        <v>1341</v>
      </c>
      <c r="Z28" s="101">
        <v>1484</v>
      </c>
      <c r="AA28" s="101">
        <v>1588</v>
      </c>
      <c r="AB28" s="101">
        <v>2038</v>
      </c>
      <c r="AC28" s="101">
        <v>2247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4855D-AC66-400A-A717-AA26ACDD9E84}">
  <dimension ref="A1:U21"/>
  <sheetViews>
    <sheetView workbookViewId="0">
      <selection activeCell="F3" sqref="F3:G3"/>
    </sheetView>
  </sheetViews>
  <sheetFormatPr baseColWidth="10" defaultRowHeight="12.75" x14ac:dyDescent="0.2"/>
  <cols>
    <col min="1" max="9" width="11.42578125" style="101"/>
    <col min="10" max="10" width="13.85546875" style="101" customWidth="1"/>
    <col min="11" max="11" width="12.85546875" style="101" customWidth="1"/>
    <col min="12" max="16384" width="11.42578125" style="101"/>
  </cols>
  <sheetData>
    <row r="1" spans="1:21" x14ac:dyDescent="0.2">
      <c r="B1" s="101" t="s">
        <v>1143</v>
      </c>
      <c r="C1" s="101" t="s">
        <v>1144</v>
      </c>
      <c r="D1" s="101" t="s">
        <v>1145</v>
      </c>
      <c r="E1" s="101" t="s">
        <v>1146</v>
      </c>
      <c r="F1" s="101" t="s">
        <v>1147</v>
      </c>
      <c r="G1" s="101" t="s">
        <v>1148</v>
      </c>
      <c r="H1" s="101" t="s">
        <v>1149</v>
      </c>
      <c r="I1" s="101" t="s">
        <v>1150</v>
      </c>
      <c r="J1" s="101" t="s">
        <v>1141</v>
      </c>
      <c r="K1" s="101" t="s">
        <v>1159</v>
      </c>
      <c r="M1" s="101" t="s">
        <v>1160</v>
      </c>
      <c r="N1" s="101" t="s">
        <v>1143</v>
      </c>
      <c r="O1" s="101" t="s">
        <v>1144</v>
      </c>
      <c r="P1" s="101" t="s">
        <v>1145</v>
      </c>
      <c r="Q1" s="101" t="s">
        <v>1146</v>
      </c>
      <c r="R1" s="101" t="s">
        <v>1147</v>
      </c>
      <c r="S1" s="101" t="s">
        <v>1148</v>
      </c>
      <c r="T1" s="101" t="s">
        <v>1149</v>
      </c>
      <c r="U1" s="101" t="s">
        <v>1150</v>
      </c>
    </row>
    <row r="2" spans="1:21" x14ac:dyDescent="0.2">
      <c r="A2" s="101">
        <v>750</v>
      </c>
      <c r="B2" s="101">
        <v>78</v>
      </c>
      <c r="C2" s="101">
        <v>96</v>
      </c>
      <c r="D2" s="101">
        <v>127</v>
      </c>
      <c r="E2" s="101">
        <v>131</v>
      </c>
      <c r="F2" s="101">
        <v>145</v>
      </c>
      <c r="G2" s="101">
        <v>154</v>
      </c>
      <c r="H2" s="101">
        <v>185</v>
      </c>
      <c r="I2" s="101">
        <v>213</v>
      </c>
      <c r="J2" s="101">
        <v>520</v>
      </c>
      <c r="K2" s="101">
        <f>SUM(J2-90)</f>
        <v>430</v>
      </c>
      <c r="N2" s="101">
        <v>220</v>
      </c>
      <c r="O2" s="101">
        <v>259</v>
      </c>
      <c r="P2" s="101">
        <v>317</v>
      </c>
      <c r="Q2" s="101">
        <v>326</v>
      </c>
      <c r="R2" s="101">
        <v>363</v>
      </c>
      <c r="S2" s="101">
        <v>385</v>
      </c>
      <c r="T2" s="101">
        <v>472</v>
      </c>
      <c r="U2" s="101">
        <v>542</v>
      </c>
    </row>
    <row r="3" spans="1:21" x14ac:dyDescent="0.2">
      <c r="A3" s="101">
        <v>850</v>
      </c>
      <c r="B3" s="101">
        <v>98</v>
      </c>
      <c r="C3" s="101">
        <v>120</v>
      </c>
      <c r="D3" s="101">
        <v>160</v>
      </c>
      <c r="E3" s="101">
        <v>164</v>
      </c>
      <c r="F3" s="101">
        <v>182</v>
      </c>
      <c r="G3" s="101">
        <v>194</v>
      </c>
      <c r="H3" s="101">
        <v>232</v>
      </c>
      <c r="I3" s="101">
        <v>267</v>
      </c>
      <c r="J3" s="101">
        <v>620</v>
      </c>
      <c r="K3" s="101">
        <f t="shared" ref="K3:K21" si="0">SUM(J3-90)</f>
        <v>530</v>
      </c>
    </row>
    <row r="4" spans="1:21" x14ac:dyDescent="0.2">
      <c r="A4" s="101">
        <v>950</v>
      </c>
      <c r="B4" s="101">
        <v>118</v>
      </c>
      <c r="C4" s="101">
        <v>144</v>
      </c>
      <c r="D4" s="101">
        <v>192</v>
      </c>
      <c r="E4" s="101">
        <v>198</v>
      </c>
      <c r="F4" s="101">
        <v>220</v>
      </c>
      <c r="G4" s="101">
        <v>233</v>
      </c>
      <c r="H4" s="101">
        <v>279</v>
      </c>
      <c r="I4" s="101">
        <v>321</v>
      </c>
      <c r="J4" s="101">
        <v>720</v>
      </c>
      <c r="K4" s="101">
        <f t="shared" si="0"/>
        <v>630</v>
      </c>
    </row>
    <row r="5" spans="1:21" x14ac:dyDescent="0.2">
      <c r="A5" s="101">
        <v>1050</v>
      </c>
      <c r="B5" s="101">
        <v>138</v>
      </c>
      <c r="C5" s="101">
        <v>168</v>
      </c>
      <c r="D5" s="101">
        <v>225</v>
      </c>
      <c r="E5" s="101">
        <v>231</v>
      </c>
      <c r="F5" s="101">
        <v>257</v>
      </c>
      <c r="G5" s="101">
        <v>273</v>
      </c>
      <c r="H5" s="101">
        <v>326</v>
      </c>
      <c r="I5" s="101">
        <v>375</v>
      </c>
      <c r="J5" s="101">
        <v>820</v>
      </c>
      <c r="K5" s="101">
        <f t="shared" si="0"/>
        <v>730</v>
      </c>
    </row>
    <row r="6" spans="1:21" x14ac:dyDescent="0.2">
      <c r="A6" s="101">
        <v>1150</v>
      </c>
      <c r="B6" s="101">
        <v>158</v>
      </c>
      <c r="C6" s="101">
        <v>193</v>
      </c>
      <c r="D6" s="101">
        <v>258</v>
      </c>
      <c r="E6" s="101">
        <v>265</v>
      </c>
      <c r="F6" s="101">
        <v>294</v>
      </c>
      <c r="G6" s="101">
        <v>312</v>
      </c>
      <c r="H6" s="101">
        <v>372</v>
      </c>
      <c r="I6" s="101">
        <v>428</v>
      </c>
      <c r="J6" s="101">
        <v>920</v>
      </c>
      <c r="K6" s="101">
        <f t="shared" si="0"/>
        <v>830</v>
      </c>
    </row>
    <row r="7" spans="1:21" x14ac:dyDescent="0.2">
      <c r="A7" s="101">
        <v>1250</v>
      </c>
      <c r="B7" s="101">
        <v>177</v>
      </c>
      <c r="C7" s="101">
        <v>217</v>
      </c>
      <c r="D7" s="101">
        <v>290</v>
      </c>
      <c r="E7" s="101">
        <v>299</v>
      </c>
      <c r="F7" s="101">
        <v>331</v>
      </c>
      <c r="G7" s="101">
        <v>352</v>
      </c>
      <c r="H7" s="101">
        <v>419</v>
      </c>
      <c r="I7" s="101">
        <v>482</v>
      </c>
      <c r="J7" s="101">
        <v>1020</v>
      </c>
      <c r="K7" s="101">
        <f t="shared" si="0"/>
        <v>930</v>
      </c>
    </row>
    <row r="8" spans="1:21" x14ac:dyDescent="0.2">
      <c r="A8" s="101">
        <v>1350</v>
      </c>
      <c r="B8" s="101">
        <v>196</v>
      </c>
      <c r="C8" s="101">
        <v>241</v>
      </c>
      <c r="D8" s="101">
        <v>322</v>
      </c>
      <c r="E8" s="101">
        <v>331</v>
      </c>
      <c r="F8" s="101">
        <v>368</v>
      </c>
      <c r="G8" s="101">
        <v>390</v>
      </c>
      <c r="H8" s="101">
        <v>466</v>
      </c>
      <c r="I8" s="101">
        <v>536</v>
      </c>
      <c r="J8" s="101">
        <v>1120</v>
      </c>
      <c r="K8" s="101">
        <f t="shared" si="0"/>
        <v>1030</v>
      </c>
    </row>
    <row r="9" spans="1:21" x14ac:dyDescent="0.2">
      <c r="A9" s="101">
        <v>1550</v>
      </c>
      <c r="B9" s="101">
        <v>236</v>
      </c>
      <c r="C9" s="101">
        <v>288</v>
      </c>
      <c r="D9" s="101">
        <v>386</v>
      </c>
      <c r="E9" s="101">
        <v>397</v>
      </c>
      <c r="F9" s="101">
        <v>441</v>
      </c>
      <c r="G9" s="101">
        <v>468</v>
      </c>
      <c r="H9" s="101">
        <v>559</v>
      </c>
      <c r="I9" s="101">
        <v>643</v>
      </c>
      <c r="J9" s="101">
        <v>1320</v>
      </c>
      <c r="K9" s="101">
        <f t="shared" si="0"/>
        <v>1230</v>
      </c>
    </row>
    <row r="10" spans="1:21" x14ac:dyDescent="0.2">
      <c r="A10" s="101">
        <v>1750</v>
      </c>
      <c r="B10" s="101">
        <v>275</v>
      </c>
      <c r="C10" s="101">
        <v>338</v>
      </c>
      <c r="D10" s="101">
        <v>452</v>
      </c>
      <c r="E10" s="101">
        <v>464</v>
      </c>
      <c r="F10" s="101">
        <v>515</v>
      </c>
      <c r="G10" s="101">
        <v>547</v>
      </c>
      <c r="H10" s="101">
        <v>652</v>
      </c>
      <c r="I10" s="101">
        <v>750</v>
      </c>
      <c r="J10" s="101">
        <v>1520</v>
      </c>
      <c r="K10" s="101">
        <f t="shared" si="0"/>
        <v>1430</v>
      </c>
    </row>
    <row r="11" spans="1:21" x14ac:dyDescent="0.2">
      <c r="A11" s="101">
        <v>1950</v>
      </c>
      <c r="B11" s="101">
        <v>314</v>
      </c>
      <c r="C11" s="101">
        <v>385</v>
      </c>
      <c r="D11" s="101">
        <v>515</v>
      </c>
      <c r="E11" s="101">
        <v>530</v>
      </c>
      <c r="F11" s="101">
        <v>588</v>
      </c>
      <c r="G11" s="101">
        <v>624</v>
      </c>
      <c r="H11" s="101">
        <v>745</v>
      </c>
      <c r="I11" s="101">
        <v>858</v>
      </c>
      <c r="J11" s="101">
        <v>1720</v>
      </c>
      <c r="K11" s="101">
        <f t="shared" si="0"/>
        <v>1630</v>
      </c>
    </row>
    <row r="12" spans="1:21" x14ac:dyDescent="0.2">
      <c r="A12" s="101">
        <v>2150</v>
      </c>
      <c r="B12" s="101">
        <v>354</v>
      </c>
      <c r="C12" s="101">
        <v>433</v>
      </c>
      <c r="D12" s="101">
        <v>580</v>
      </c>
      <c r="E12" s="101">
        <v>596</v>
      </c>
      <c r="F12" s="101">
        <v>662</v>
      </c>
      <c r="G12" s="101">
        <v>703</v>
      </c>
      <c r="H12" s="101">
        <v>838</v>
      </c>
      <c r="I12" s="101">
        <v>964</v>
      </c>
      <c r="J12" s="101">
        <v>1920</v>
      </c>
      <c r="K12" s="101">
        <f t="shared" si="0"/>
        <v>1830</v>
      </c>
    </row>
    <row r="13" spans="1:21" x14ac:dyDescent="0.2">
      <c r="A13" s="101">
        <v>2350</v>
      </c>
      <c r="B13" s="101">
        <v>393</v>
      </c>
      <c r="C13" s="101">
        <v>482</v>
      </c>
      <c r="D13" s="101">
        <v>645</v>
      </c>
      <c r="E13" s="101">
        <v>663</v>
      </c>
      <c r="F13" s="101">
        <v>735</v>
      </c>
      <c r="G13" s="101">
        <v>781</v>
      </c>
      <c r="H13" s="101">
        <v>931</v>
      </c>
      <c r="I13" s="101">
        <v>1072</v>
      </c>
      <c r="J13" s="101">
        <v>2120</v>
      </c>
      <c r="K13" s="101">
        <f t="shared" si="0"/>
        <v>2030</v>
      </c>
    </row>
    <row r="14" spans="1:21" x14ac:dyDescent="0.2">
      <c r="A14" s="101">
        <v>2550</v>
      </c>
      <c r="B14" s="101">
        <v>432</v>
      </c>
      <c r="C14" s="101">
        <v>529</v>
      </c>
      <c r="D14" s="101">
        <v>709</v>
      </c>
      <c r="E14" s="101">
        <v>729</v>
      </c>
      <c r="F14" s="101">
        <v>808</v>
      </c>
      <c r="G14" s="101">
        <v>858</v>
      </c>
      <c r="H14" s="101">
        <v>1025</v>
      </c>
      <c r="I14" s="101">
        <v>1179</v>
      </c>
      <c r="J14" s="101">
        <v>2320</v>
      </c>
      <c r="K14" s="101">
        <f t="shared" si="0"/>
        <v>2230</v>
      </c>
    </row>
    <row r="15" spans="1:21" x14ac:dyDescent="0.2">
      <c r="A15" s="101">
        <v>2750</v>
      </c>
      <c r="B15" s="101">
        <v>472</v>
      </c>
      <c r="C15" s="101">
        <v>578</v>
      </c>
      <c r="D15" s="101">
        <v>774</v>
      </c>
      <c r="E15" s="101">
        <v>796</v>
      </c>
      <c r="F15" s="101">
        <v>883</v>
      </c>
      <c r="G15" s="101">
        <v>937</v>
      </c>
      <c r="H15" s="101">
        <v>1118</v>
      </c>
      <c r="I15" s="101">
        <v>1286</v>
      </c>
      <c r="J15" s="101">
        <v>2520</v>
      </c>
      <c r="K15" s="101">
        <f t="shared" si="0"/>
        <v>2430</v>
      </c>
    </row>
    <row r="16" spans="1:21" x14ac:dyDescent="0.2">
      <c r="A16" s="101">
        <v>2950</v>
      </c>
      <c r="B16" s="101">
        <v>511</v>
      </c>
      <c r="C16" s="101">
        <v>626</v>
      </c>
      <c r="D16" s="101">
        <v>838</v>
      </c>
      <c r="E16" s="101">
        <v>861</v>
      </c>
      <c r="F16" s="101">
        <v>956</v>
      </c>
      <c r="G16" s="101">
        <v>1015</v>
      </c>
      <c r="H16" s="101">
        <v>1211</v>
      </c>
      <c r="I16" s="101">
        <v>1394</v>
      </c>
      <c r="J16" s="101">
        <v>2720</v>
      </c>
      <c r="K16" s="101">
        <f t="shared" si="0"/>
        <v>2630</v>
      </c>
    </row>
    <row r="17" spans="1:11" x14ac:dyDescent="0.2">
      <c r="A17" s="101">
        <v>3150</v>
      </c>
      <c r="B17" s="101">
        <v>551</v>
      </c>
      <c r="C17" s="101">
        <v>674</v>
      </c>
      <c r="D17" s="101">
        <v>902</v>
      </c>
      <c r="E17" s="101">
        <v>928</v>
      </c>
      <c r="F17" s="101">
        <v>1030</v>
      </c>
      <c r="G17" s="101">
        <v>1093</v>
      </c>
      <c r="H17" s="101">
        <v>1304</v>
      </c>
      <c r="I17" s="101">
        <v>1500</v>
      </c>
      <c r="J17" s="101">
        <v>2920</v>
      </c>
      <c r="K17" s="101">
        <f t="shared" si="0"/>
        <v>2830</v>
      </c>
    </row>
    <row r="18" spans="1:11" x14ac:dyDescent="0.2">
      <c r="A18" s="101">
        <v>3350</v>
      </c>
      <c r="B18" s="101">
        <v>590</v>
      </c>
      <c r="C18" s="101">
        <v>723</v>
      </c>
      <c r="D18" s="101">
        <v>967</v>
      </c>
      <c r="E18" s="101">
        <v>994</v>
      </c>
      <c r="F18" s="101">
        <v>1103</v>
      </c>
      <c r="G18" s="101">
        <v>1171</v>
      </c>
      <c r="H18" s="101">
        <v>1397</v>
      </c>
      <c r="I18" s="101">
        <v>1608</v>
      </c>
      <c r="J18" s="101">
        <v>3120</v>
      </c>
      <c r="K18" s="101">
        <f t="shared" si="0"/>
        <v>3030</v>
      </c>
    </row>
    <row r="19" spans="1:11" x14ac:dyDescent="0.2">
      <c r="A19" s="101">
        <v>3550</v>
      </c>
      <c r="B19" s="101">
        <v>629</v>
      </c>
      <c r="C19" s="101">
        <v>771</v>
      </c>
      <c r="D19" s="101">
        <v>1032</v>
      </c>
      <c r="E19" s="101">
        <v>1061</v>
      </c>
      <c r="F19" s="101">
        <v>1177</v>
      </c>
      <c r="G19" s="101">
        <v>1250</v>
      </c>
      <c r="H19" s="101">
        <v>1491</v>
      </c>
      <c r="I19" s="101">
        <v>1715</v>
      </c>
      <c r="J19" s="101">
        <v>3320</v>
      </c>
      <c r="K19" s="101">
        <f t="shared" si="0"/>
        <v>3230</v>
      </c>
    </row>
    <row r="20" spans="1:11" x14ac:dyDescent="0.2">
      <c r="A20" s="101">
        <v>3750</v>
      </c>
      <c r="B20" s="101">
        <v>669</v>
      </c>
      <c r="C20" s="101">
        <v>819</v>
      </c>
      <c r="D20" s="101">
        <v>1096</v>
      </c>
      <c r="E20" s="101">
        <v>1127</v>
      </c>
      <c r="F20" s="101">
        <v>1251</v>
      </c>
      <c r="G20" s="101">
        <v>1328</v>
      </c>
      <c r="H20" s="101">
        <v>1583</v>
      </c>
      <c r="I20" s="101">
        <v>1822</v>
      </c>
      <c r="J20" s="101">
        <v>3520</v>
      </c>
      <c r="K20" s="101">
        <f t="shared" si="0"/>
        <v>3430</v>
      </c>
    </row>
    <row r="21" spans="1:11" x14ac:dyDescent="0.2">
      <c r="A21" s="101">
        <v>3950</v>
      </c>
      <c r="B21" s="101">
        <v>708</v>
      </c>
      <c r="C21" s="101">
        <v>868</v>
      </c>
      <c r="D21" s="101">
        <v>1161</v>
      </c>
      <c r="E21" s="101">
        <v>1194</v>
      </c>
      <c r="F21" s="101">
        <v>1324</v>
      </c>
      <c r="G21" s="101">
        <v>1406</v>
      </c>
      <c r="H21" s="101">
        <v>1676</v>
      </c>
      <c r="I21" s="101">
        <v>1929</v>
      </c>
      <c r="J21" s="101">
        <v>3720</v>
      </c>
      <c r="K21" s="101">
        <f t="shared" si="0"/>
        <v>3630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B6C-683F-4241-A27C-4B8416A3463F}">
  <dimension ref="A1:U21"/>
  <sheetViews>
    <sheetView workbookViewId="0">
      <selection activeCell="F3" sqref="F3:G3"/>
    </sheetView>
  </sheetViews>
  <sheetFormatPr baseColWidth="10" defaultRowHeight="12.75" x14ac:dyDescent="0.2"/>
  <cols>
    <col min="1" max="16384" width="11.42578125" style="101"/>
  </cols>
  <sheetData>
    <row r="1" spans="1:21" x14ac:dyDescent="0.2">
      <c r="B1" s="101" t="s">
        <v>1143</v>
      </c>
      <c r="C1" s="102" t="s">
        <v>1169</v>
      </c>
      <c r="D1" s="102" t="s">
        <v>1170</v>
      </c>
      <c r="E1" s="102" t="s">
        <v>1171</v>
      </c>
      <c r="F1" s="102" t="s">
        <v>1172</v>
      </c>
      <c r="G1" s="102" t="s">
        <v>1173</v>
      </c>
      <c r="H1" s="102" t="s">
        <v>1174</v>
      </c>
      <c r="I1" s="102" t="s">
        <v>1175</v>
      </c>
      <c r="J1" s="101" t="s">
        <v>1141</v>
      </c>
      <c r="K1" s="101" t="s">
        <v>1159</v>
      </c>
      <c r="M1" s="101" t="s">
        <v>1160</v>
      </c>
      <c r="N1" s="101" t="s">
        <v>1143</v>
      </c>
      <c r="O1" s="101" t="s">
        <v>1144</v>
      </c>
      <c r="P1" s="101" t="s">
        <v>1145</v>
      </c>
      <c r="Q1" s="101" t="s">
        <v>1146</v>
      </c>
      <c r="R1" s="101" t="s">
        <v>1147</v>
      </c>
      <c r="S1" s="101" t="s">
        <v>1148</v>
      </c>
      <c r="T1" s="101" t="s">
        <v>1149</v>
      </c>
      <c r="U1" s="101" t="s">
        <v>1150</v>
      </c>
    </row>
    <row r="2" spans="1:21" x14ac:dyDescent="0.2">
      <c r="A2" s="101">
        <v>750</v>
      </c>
      <c r="B2" s="101">
        <v>103</v>
      </c>
      <c r="C2" s="101">
        <v>124</v>
      </c>
      <c r="D2" s="101">
        <v>251</v>
      </c>
      <c r="E2" s="101">
        <v>259</v>
      </c>
      <c r="F2" s="101">
        <v>319</v>
      </c>
      <c r="G2" s="101">
        <v>340</v>
      </c>
      <c r="H2" s="101">
        <v>399</v>
      </c>
      <c r="I2" s="101">
        <v>458</v>
      </c>
      <c r="J2" s="103">
        <v>520</v>
      </c>
      <c r="N2" s="101">
        <v>329</v>
      </c>
      <c r="O2" s="101">
        <v>361</v>
      </c>
      <c r="P2" s="101">
        <v>589</v>
      </c>
      <c r="Q2" s="101">
        <v>634</v>
      </c>
      <c r="R2" s="101">
        <v>783</v>
      </c>
      <c r="S2" s="101">
        <v>842</v>
      </c>
      <c r="T2" s="101">
        <v>1061</v>
      </c>
      <c r="U2" s="101">
        <v>1144</v>
      </c>
    </row>
    <row r="3" spans="1:21" x14ac:dyDescent="0.2">
      <c r="A3" s="101">
        <v>850</v>
      </c>
      <c r="B3" s="101">
        <v>129</v>
      </c>
      <c r="C3" s="101">
        <v>156</v>
      </c>
      <c r="D3" s="101">
        <v>314</v>
      </c>
      <c r="E3" s="101">
        <v>324</v>
      </c>
      <c r="F3" s="101">
        <v>399</v>
      </c>
      <c r="G3" s="101">
        <v>426</v>
      </c>
      <c r="H3" s="101">
        <v>498</v>
      </c>
      <c r="I3" s="101">
        <v>572</v>
      </c>
      <c r="J3" s="103">
        <v>620</v>
      </c>
    </row>
    <row r="4" spans="1:21" x14ac:dyDescent="0.2">
      <c r="A4" s="101">
        <v>950</v>
      </c>
      <c r="B4" s="101">
        <v>155</v>
      </c>
      <c r="C4" s="101">
        <v>187</v>
      </c>
      <c r="D4" s="101">
        <v>377</v>
      </c>
      <c r="E4" s="101">
        <v>389</v>
      </c>
      <c r="F4" s="101">
        <v>480</v>
      </c>
      <c r="G4" s="101">
        <v>511</v>
      </c>
      <c r="H4" s="101">
        <v>597</v>
      </c>
      <c r="I4" s="101">
        <v>685</v>
      </c>
      <c r="J4" s="103">
        <v>720</v>
      </c>
    </row>
    <row r="5" spans="1:21" x14ac:dyDescent="0.2">
      <c r="A5" s="101">
        <v>1050</v>
      </c>
      <c r="B5" s="101">
        <v>181</v>
      </c>
      <c r="C5" s="101">
        <v>218</v>
      </c>
      <c r="D5" s="101">
        <v>440</v>
      </c>
      <c r="E5" s="101">
        <v>454</v>
      </c>
      <c r="F5" s="101">
        <v>560</v>
      </c>
      <c r="G5" s="101">
        <v>597</v>
      </c>
      <c r="H5" s="101">
        <v>697</v>
      </c>
      <c r="I5" s="101">
        <v>800</v>
      </c>
      <c r="J5" s="103">
        <v>820</v>
      </c>
    </row>
    <row r="6" spans="1:21" x14ac:dyDescent="0.2">
      <c r="A6" s="101">
        <v>1150</v>
      </c>
      <c r="B6" s="101">
        <v>206</v>
      </c>
      <c r="C6" s="101">
        <v>249</v>
      </c>
      <c r="D6" s="101">
        <v>503</v>
      </c>
      <c r="E6" s="101">
        <v>518</v>
      </c>
      <c r="F6" s="101">
        <v>639</v>
      </c>
      <c r="G6" s="101">
        <v>681</v>
      </c>
      <c r="H6" s="101">
        <v>796</v>
      </c>
      <c r="I6" s="101">
        <v>914</v>
      </c>
      <c r="J6" s="103">
        <v>920</v>
      </c>
    </row>
    <row r="7" spans="1:21" x14ac:dyDescent="0.2">
      <c r="A7" s="101">
        <v>1250</v>
      </c>
      <c r="B7" s="101">
        <v>232</v>
      </c>
      <c r="C7" s="101">
        <v>280</v>
      </c>
      <c r="D7" s="101">
        <v>565</v>
      </c>
      <c r="E7" s="101">
        <v>583</v>
      </c>
      <c r="F7" s="101">
        <v>719</v>
      </c>
      <c r="G7" s="101">
        <v>766</v>
      </c>
      <c r="H7" s="101">
        <v>896</v>
      </c>
      <c r="I7" s="101">
        <v>1029</v>
      </c>
      <c r="J7" s="103">
        <v>1020</v>
      </c>
    </row>
    <row r="8" spans="1:21" x14ac:dyDescent="0.2">
      <c r="A8" s="101">
        <v>1350</v>
      </c>
      <c r="B8" s="101">
        <v>258</v>
      </c>
      <c r="C8" s="101">
        <v>311</v>
      </c>
      <c r="D8" s="101">
        <v>628</v>
      </c>
      <c r="E8" s="101">
        <v>648</v>
      </c>
      <c r="F8" s="101">
        <v>799</v>
      </c>
      <c r="G8" s="101">
        <v>852</v>
      </c>
      <c r="H8" s="101">
        <v>993</v>
      </c>
      <c r="I8" s="101">
        <v>1140</v>
      </c>
      <c r="J8" s="103">
        <v>1120</v>
      </c>
    </row>
    <row r="9" spans="1:21" x14ac:dyDescent="0.2">
      <c r="A9" s="101">
        <v>1550</v>
      </c>
      <c r="B9" s="101">
        <v>309</v>
      </c>
      <c r="C9" s="101">
        <v>373</v>
      </c>
      <c r="D9" s="101">
        <v>753</v>
      </c>
      <c r="E9" s="101">
        <v>777</v>
      </c>
      <c r="F9" s="101">
        <v>959</v>
      </c>
      <c r="G9" s="101">
        <v>1022</v>
      </c>
      <c r="H9" s="101">
        <v>1195</v>
      </c>
      <c r="I9" s="101">
        <v>1372</v>
      </c>
      <c r="J9" s="103">
        <v>1320</v>
      </c>
    </row>
    <row r="10" spans="1:21" x14ac:dyDescent="0.2">
      <c r="A10" s="101">
        <v>1750</v>
      </c>
      <c r="B10" s="101">
        <v>361</v>
      </c>
      <c r="C10" s="101">
        <v>435</v>
      </c>
      <c r="D10" s="101">
        <v>879</v>
      </c>
      <c r="E10" s="101">
        <v>907</v>
      </c>
      <c r="F10" s="101">
        <v>1118</v>
      </c>
      <c r="G10" s="101">
        <v>1192</v>
      </c>
      <c r="H10" s="101">
        <v>1394</v>
      </c>
      <c r="I10" s="101">
        <v>1601</v>
      </c>
      <c r="J10" s="103">
        <v>1520</v>
      </c>
    </row>
    <row r="11" spans="1:21" x14ac:dyDescent="0.2">
      <c r="A11" s="101">
        <v>1950</v>
      </c>
      <c r="B11" s="101">
        <v>413</v>
      </c>
      <c r="C11" s="101">
        <v>497</v>
      </c>
      <c r="D11" s="101">
        <v>1005</v>
      </c>
      <c r="E11" s="101">
        <v>1037</v>
      </c>
      <c r="F11" s="101">
        <v>1279</v>
      </c>
      <c r="G11" s="101">
        <v>1363</v>
      </c>
      <c r="H11" s="101">
        <v>1592</v>
      </c>
      <c r="I11" s="101">
        <v>1828</v>
      </c>
      <c r="J11" s="103">
        <v>1720</v>
      </c>
    </row>
    <row r="12" spans="1:21" x14ac:dyDescent="0.2">
      <c r="A12" s="101">
        <v>2150</v>
      </c>
      <c r="B12" s="101">
        <v>464</v>
      </c>
      <c r="C12" s="101">
        <v>559</v>
      </c>
      <c r="D12" s="101">
        <v>1131</v>
      </c>
      <c r="E12" s="101">
        <v>1166</v>
      </c>
      <c r="F12" s="101">
        <v>1438</v>
      </c>
      <c r="G12" s="101">
        <v>1533</v>
      </c>
      <c r="H12" s="101">
        <v>1792</v>
      </c>
      <c r="I12" s="101">
        <v>2057</v>
      </c>
      <c r="J12" s="103">
        <v>1920</v>
      </c>
    </row>
    <row r="13" spans="1:21" x14ac:dyDescent="0.2">
      <c r="A13" s="101">
        <v>2350</v>
      </c>
      <c r="B13" s="101">
        <v>516</v>
      </c>
      <c r="C13" s="101">
        <v>621</v>
      </c>
      <c r="D13" s="101">
        <v>1256</v>
      </c>
      <c r="E13" s="101">
        <v>1296</v>
      </c>
      <c r="F13" s="101">
        <v>1598</v>
      </c>
      <c r="G13" s="101">
        <v>1703</v>
      </c>
      <c r="H13" s="101">
        <v>1991</v>
      </c>
      <c r="I13" s="101">
        <v>2286</v>
      </c>
      <c r="J13" s="103">
        <v>2120</v>
      </c>
    </row>
    <row r="14" spans="1:21" x14ac:dyDescent="0.2">
      <c r="A14" s="101">
        <v>2550</v>
      </c>
      <c r="B14" s="101">
        <v>567</v>
      </c>
      <c r="C14" s="101">
        <v>683</v>
      </c>
      <c r="D14" s="101">
        <v>1381</v>
      </c>
      <c r="E14" s="101">
        <v>1425</v>
      </c>
      <c r="F14" s="101">
        <v>1758</v>
      </c>
      <c r="G14" s="101">
        <v>1874</v>
      </c>
      <c r="H14" s="101">
        <v>2190</v>
      </c>
      <c r="I14" s="101">
        <v>2515</v>
      </c>
      <c r="J14" s="103">
        <v>2320</v>
      </c>
    </row>
    <row r="15" spans="1:21" x14ac:dyDescent="0.2">
      <c r="A15" s="101">
        <v>2750</v>
      </c>
      <c r="B15" s="101">
        <v>619</v>
      </c>
      <c r="C15" s="101">
        <v>745</v>
      </c>
      <c r="D15" s="101">
        <v>1507</v>
      </c>
      <c r="E15" s="101">
        <v>1554</v>
      </c>
      <c r="F15" s="101">
        <v>1917</v>
      </c>
      <c r="G15" s="101">
        <v>2044</v>
      </c>
      <c r="H15" s="101">
        <v>2390</v>
      </c>
      <c r="I15" s="101">
        <v>2744</v>
      </c>
      <c r="J15" s="103">
        <v>2520</v>
      </c>
    </row>
    <row r="16" spans="1:21" x14ac:dyDescent="0.2">
      <c r="A16" s="101">
        <v>2950</v>
      </c>
      <c r="B16" s="101">
        <v>670</v>
      </c>
      <c r="C16" s="101">
        <v>808</v>
      </c>
      <c r="D16" s="101">
        <v>1633</v>
      </c>
      <c r="E16" s="101">
        <v>1685</v>
      </c>
      <c r="F16" s="101">
        <v>2078</v>
      </c>
      <c r="G16" s="101">
        <v>2215</v>
      </c>
      <c r="H16" s="101">
        <v>2588</v>
      </c>
      <c r="I16" s="101">
        <v>2971</v>
      </c>
      <c r="J16" s="103">
        <v>2720</v>
      </c>
    </row>
    <row r="17" spans="1:10" x14ac:dyDescent="0.2">
      <c r="A17" s="101">
        <v>3150</v>
      </c>
      <c r="B17" s="101">
        <v>722</v>
      </c>
      <c r="C17" s="101">
        <v>870</v>
      </c>
      <c r="D17" s="101">
        <v>1758</v>
      </c>
      <c r="E17" s="101">
        <v>1814</v>
      </c>
      <c r="F17" s="101">
        <v>2237</v>
      </c>
      <c r="G17" s="101">
        <v>2384</v>
      </c>
      <c r="H17" s="101">
        <v>2787</v>
      </c>
      <c r="I17" s="101">
        <v>3200</v>
      </c>
      <c r="J17" s="103">
        <v>2920</v>
      </c>
    </row>
    <row r="18" spans="1:10" x14ac:dyDescent="0.2">
      <c r="A18" s="101">
        <v>3350</v>
      </c>
      <c r="B18" s="101">
        <v>773</v>
      </c>
      <c r="C18" s="101">
        <v>932</v>
      </c>
      <c r="D18" s="101">
        <v>1884</v>
      </c>
      <c r="E18" s="101">
        <v>1943</v>
      </c>
      <c r="F18" s="101">
        <v>2397</v>
      </c>
      <c r="G18" s="101">
        <v>2555</v>
      </c>
      <c r="H18" s="101">
        <v>2986</v>
      </c>
      <c r="I18" s="101">
        <v>3429</v>
      </c>
      <c r="J18" s="103">
        <v>3120</v>
      </c>
    </row>
    <row r="19" spans="1:10" x14ac:dyDescent="0.2">
      <c r="A19" s="101">
        <v>3550</v>
      </c>
      <c r="B19" s="101">
        <v>825</v>
      </c>
      <c r="C19" s="101">
        <v>994</v>
      </c>
      <c r="D19" s="101">
        <v>2009</v>
      </c>
      <c r="E19" s="101">
        <v>2073</v>
      </c>
      <c r="F19" s="101">
        <v>2557</v>
      </c>
      <c r="G19" s="101">
        <v>2726</v>
      </c>
      <c r="H19" s="101">
        <v>3186</v>
      </c>
      <c r="I19" s="101">
        <v>3658</v>
      </c>
      <c r="J19" s="103">
        <v>3320</v>
      </c>
    </row>
    <row r="20" spans="1:10" x14ac:dyDescent="0.2">
      <c r="A20" s="101">
        <v>3750</v>
      </c>
      <c r="B20" s="101">
        <v>876</v>
      </c>
      <c r="C20" s="101">
        <v>1056</v>
      </c>
      <c r="D20" s="101">
        <v>2135</v>
      </c>
      <c r="E20" s="101">
        <v>2202</v>
      </c>
      <c r="F20" s="101">
        <v>2716</v>
      </c>
      <c r="G20" s="101">
        <v>2895</v>
      </c>
      <c r="H20" s="101">
        <v>3385</v>
      </c>
      <c r="I20" s="101">
        <v>3886</v>
      </c>
      <c r="J20" s="103">
        <v>3520</v>
      </c>
    </row>
    <row r="21" spans="1:10" x14ac:dyDescent="0.2">
      <c r="A21" s="101">
        <v>3950</v>
      </c>
      <c r="B21" s="101">
        <v>928</v>
      </c>
      <c r="C21" s="101">
        <v>1119</v>
      </c>
      <c r="D21" s="101">
        <v>2261</v>
      </c>
      <c r="E21" s="101">
        <v>2332</v>
      </c>
      <c r="F21" s="101">
        <v>2877</v>
      </c>
      <c r="G21" s="101">
        <v>3066</v>
      </c>
      <c r="H21" s="101">
        <v>3583</v>
      </c>
      <c r="I21" s="101">
        <v>4114</v>
      </c>
      <c r="J21" s="103">
        <v>3720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49BC7-D67C-4DC3-819E-08C0A360D41C}">
  <dimension ref="A1:V28"/>
  <sheetViews>
    <sheetView workbookViewId="0">
      <selection activeCell="F3" sqref="F3:G3"/>
    </sheetView>
  </sheetViews>
  <sheetFormatPr baseColWidth="10" defaultRowHeight="12.75" x14ac:dyDescent="0.2"/>
  <cols>
    <col min="1" max="16384" width="11.42578125" style="101"/>
  </cols>
  <sheetData>
    <row r="1" spans="1:22" x14ac:dyDescent="0.2">
      <c r="B1" s="101" t="s">
        <v>1143</v>
      </c>
      <c r="C1" s="101" t="s">
        <v>1144</v>
      </c>
      <c r="D1" s="101" t="s">
        <v>1145</v>
      </c>
      <c r="E1" s="101" t="s">
        <v>1146</v>
      </c>
      <c r="F1" s="101" t="s">
        <v>1147</v>
      </c>
      <c r="G1" s="101" t="s">
        <v>1148</v>
      </c>
      <c r="H1" s="101" t="s">
        <v>1149</v>
      </c>
      <c r="I1" s="101" t="s">
        <v>1150</v>
      </c>
      <c r="J1" s="101" t="s">
        <v>1141</v>
      </c>
      <c r="M1" s="102" t="s">
        <v>1142</v>
      </c>
      <c r="N1" s="101" t="s">
        <v>1143</v>
      </c>
      <c r="O1" s="101" t="s">
        <v>1144</v>
      </c>
      <c r="P1" s="101" t="s">
        <v>1145</v>
      </c>
      <c r="Q1" s="101" t="s">
        <v>1146</v>
      </c>
      <c r="R1" s="101" t="s">
        <v>1147</v>
      </c>
      <c r="S1" s="101" t="s">
        <v>1148</v>
      </c>
      <c r="T1" s="101" t="s">
        <v>1149</v>
      </c>
      <c r="U1" s="101" t="s">
        <v>1150</v>
      </c>
      <c r="V1" s="102" t="s">
        <v>1168</v>
      </c>
    </row>
    <row r="2" spans="1:22" x14ac:dyDescent="0.2">
      <c r="A2" s="101">
        <v>750</v>
      </c>
      <c r="B2" s="101">
        <v>84</v>
      </c>
      <c r="C2" s="101">
        <v>104</v>
      </c>
      <c r="D2" s="101">
        <v>140</v>
      </c>
      <c r="E2" s="101">
        <v>155</v>
      </c>
      <c r="F2" s="101">
        <v>175</v>
      </c>
      <c r="G2" s="101">
        <v>183</v>
      </c>
      <c r="H2" s="101">
        <v>217</v>
      </c>
      <c r="I2" s="101">
        <v>245</v>
      </c>
      <c r="J2" s="101">
        <v>520</v>
      </c>
      <c r="M2" s="101">
        <v>900</v>
      </c>
      <c r="N2" s="101">
        <v>150</v>
      </c>
      <c r="O2" s="101">
        <v>202</v>
      </c>
      <c r="P2" s="101">
        <v>258</v>
      </c>
      <c r="Q2" s="101">
        <v>284</v>
      </c>
      <c r="R2" s="101">
        <v>317</v>
      </c>
      <c r="S2" s="101">
        <v>339</v>
      </c>
      <c r="T2" s="101">
        <v>384</v>
      </c>
      <c r="U2" s="101">
        <v>430</v>
      </c>
    </row>
    <row r="3" spans="1:22" x14ac:dyDescent="0.2">
      <c r="A3" s="101">
        <v>850</v>
      </c>
      <c r="B3" s="101">
        <v>106</v>
      </c>
      <c r="C3" s="101">
        <v>130</v>
      </c>
      <c r="D3" s="101">
        <v>176</v>
      </c>
      <c r="E3" s="101">
        <v>195</v>
      </c>
      <c r="F3" s="101">
        <v>221</v>
      </c>
      <c r="G3" s="101">
        <v>230</v>
      </c>
      <c r="H3" s="101">
        <v>272</v>
      </c>
      <c r="I3" s="101">
        <v>307</v>
      </c>
      <c r="J3" s="101">
        <v>620</v>
      </c>
      <c r="M3" s="101">
        <v>1000</v>
      </c>
      <c r="N3" s="101">
        <v>175</v>
      </c>
      <c r="O3" s="101">
        <v>235</v>
      </c>
      <c r="P3" s="101">
        <v>301</v>
      </c>
      <c r="Q3" s="101">
        <v>331</v>
      </c>
      <c r="R3" s="101">
        <v>369</v>
      </c>
      <c r="S3" s="101">
        <v>395</v>
      </c>
      <c r="T3" s="101">
        <v>448</v>
      </c>
      <c r="U3" s="101">
        <v>502</v>
      </c>
    </row>
    <row r="4" spans="1:22" x14ac:dyDescent="0.2">
      <c r="A4" s="101">
        <v>950</v>
      </c>
      <c r="B4" s="101">
        <v>127</v>
      </c>
      <c r="C4" s="101">
        <v>157</v>
      </c>
      <c r="D4" s="101">
        <v>212</v>
      </c>
      <c r="E4" s="101">
        <v>235</v>
      </c>
      <c r="F4" s="101">
        <v>266</v>
      </c>
      <c r="G4" s="101">
        <v>277</v>
      </c>
      <c r="H4" s="101">
        <v>326</v>
      </c>
      <c r="I4" s="101">
        <v>369</v>
      </c>
      <c r="J4" s="101">
        <v>720</v>
      </c>
      <c r="M4" s="101">
        <v>1100</v>
      </c>
      <c r="N4" s="101">
        <v>200</v>
      </c>
      <c r="O4" s="101">
        <v>269</v>
      </c>
      <c r="P4" s="101">
        <v>344</v>
      </c>
      <c r="Q4" s="101">
        <v>379</v>
      </c>
      <c r="R4" s="101">
        <v>422</v>
      </c>
      <c r="S4" s="101">
        <v>452</v>
      </c>
      <c r="T4" s="101">
        <v>512</v>
      </c>
      <c r="U4" s="101">
        <v>573</v>
      </c>
    </row>
    <row r="5" spans="1:22" x14ac:dyDescent="0.2">
      <c r="A5" s="101">
        <v>1050</v>
      </c>
      <c r="B5" s="101">
        <v>148</v>
      </c>
      <c r="C5" s="101">
        <v>183</v>
      </c>
      <c r="D5" s="101">
        <v>248</v>
      </c>
      <c r="E5" s="101">
        <v>275</v>
      </c>
      <c r="F5" s="101">
        <v>311</v>
      </c>
      <c r="G5" s="101">
        <v>324</v>
      </c>
      <c r="H5" s="101">
        <v>381</v>
      </c>
      <c r="I5" s="101">
        <v>431</v>
      </c>
      <c r="J5" s="101">
        <v>820</v>
      </c>
      <c r="M5" s="101">
        <v>1200</v>
      </c>
      <c r="N5" s="101">
        <v>225</v>
      </c>
      <c r="O5" s="101">
        <v>302</v>
      </c>
      <c r="P5" s="101">
        <v>387</v>
      </c>
      <c r="Q5" s="101">
        <v>426</v>
      </c>
      <c r="R5" s="101">
        <v>475</v>
      </c>
      <c r="S5" s="101">
        <v>508</v>
      </c>
      <c r="T5" s="101">
        <v>576</v>
      </c>
      <c r="U5" s="101">
        <v>645</v>
      </c>
    </row>
    <row r="6" spans="1:22" x14ac:dyDescent="0.2">
      <c r="A6" s="101">
        <v>1150</v>
      </c>
      <c r="B6" s="101">
        <v>170</v>
      </c>
      <c r="C6" s="101">
        <v>209</v>
      </c>
      <c r="D6" s="101">
        <v>284</v>
      </c>
      <c r="E6" s="101">
        <v>315</v>
      </c>
      <c r="F6" s="101">
        <v>356</v>
      </c>
      <c r="G6" s="101">
        <v>371</v>
      </c>
      <c r="H6" s="101">
        <v>436</v>
      </c>
      <c r="I6" s="101">
        <v>493</v>
      </c>
      <c r="J6" s="101">
        <v>920</v>
      </c>
      <c r="M6" s="101">
        <v>1300</v>
      </c>
      <c r="N6" s="101">
        <v>250</v>
      </c>
      <c r="O6" s="101">
        <v>336</v>
      </c>
      <c r="P6" s="101">
        <v>430</v>
      </c>
      <c r="Q6" s="101">
        <v>474</v>
      </c>
      <c r="R6" s="101">
        <v>528</v>
      </c>
      <c r="S6" s="101">
        <v>564</v>
      </c>
      <c r="T6" s="101">
        <v>640</v>
      </c>
      <c r="U6" s="101">
        <v>717</v>
      </c>
    </row>
    <row r="7" spans="1:22" x14ac:dyDescent="0.2">
      <c r="A7" s="101">
        <v>1250</v>
      </c>
      <c r="B7" s="101">
        <v>191</v>
      </c>
      <c r="C7" s="101">
        <v>235</v>
      </c>
      <c r="D7" s="101">
        <v>319</v>
      </c>
      <c r="E7" s="101">
        <v>355</v>
      </c>
      <c r="F7" s="101">
        <v>401</v>
      </c>
      <c r="G7" s="101">
        <v>418</v>
      </c>
      <c r="H7" s="101">
        <v>490</v>
      </c>
      <c r="I7" s="101">
        <v>554</v>
      </c>
      <c r="J7" s="101">
        <v>1020</v>
      </c>
      <c r="M7" s="101">
        <v>1400</v>
      </c>
      <c r="N7" s="101">
        <v>275</v>
      </c>
      <c r="O7" s="101">
        <v>370</v>
      </c>
      <c r="P7" s="101">
        <v>473</v>
      </c>
      <c r="Q7" s="101">
        <v>521</v>
      </c>
      <c r="R7" s="101">
        <v>580</v>
      </c>
      <c r="S7" s="101">
        <v>621</v>
      </c>
      <c r="T7" s="101">
        <v>704</v>
      </c>
      <c r="U7" s="101">
        <v>788</v>
      </c>
    </row>
    <row r="8" spans="1:22" x14ac:dyDescent="0.2">
      <c r="A8" s="101">
        <v>1350</v>
      </c>
      <c r="B8" s="101">
        <v>211</v>
      </c>
      <c r="C8" s="101">
        <v>262</v>
      </c>
      <c r="D8" s="101">
        <v>355</v>
      </c>
      <c r="E8" s="101">
        <v>394</v>
      </c>
      <c r="F8" s="101">
        <v>445</v>
      </c>
      <c r="G8" s="101">
        <v>464</v>
      </c>
      <c r="H8" s="101">
        <v>545</v>
      </c>
      <c r="I8" s="101">
        <v>616</v>
      </c>
      <c r="J8" s="101">
        <v>1120</v>
      </c>
      <c r="M8" s="101">
        <v>1500</v>
      </c>
      <c r="N8" s="101">
        <v>300</v>
      </c>
      <c r="O8" s="101">
        <v>403</v>
      </c>
      <c r="P8" s="101">
        <v>516</v>
      </c>
      <c r="Q8" s="101">
        <v>568</v>
      </c>
      <c r="R8" s="101">
        <v>633</v>
      </c>
      <c r="S8" s="101">
        <v>677</v>
      </c>
      <c r="T8" s="101">
        <v>768</v>
      </c>
      <c r="U8" s="101">
        <v>860</v>
      </c>
    </row>
    <row r="9" spans="1:22" x14ac:dyDescent="0.2">
      <c r="A9" s="101">
        <v>1550</v>
      </c>
      <c r="B9" s="101">
        <v>254</v>
      </c>
      <c r="C9" s="101">
        <v>313</v>
      </c>
      <c r="D9" s="101">
        <v>425</v>
      </c>
      <c r="E9" s="101">
        <v>472</v>
      </c>
      <c r="F9" s="101">
        <v>533</v>
      </c>
      <c r="G9" s="101">
        <v>557</v>
      </c>
      <c r="H9" s="101">
        <v>654</v>
      </c>
      <c r="I9" s="101">
        <v>740</v>
      </c>
      <c r="J9" s="101">
        <v>1320</v>
      </c>
      <c r="M9" s="101">
        <v>1600</v>
      </c>
      <c r="N9" s="101">
        <v>325</v>
      </c>
      <c r="O9" s="101">
        <v>437</v>
      </c>
      <c r="P9" s="101">
        <v>559</v>
      </c>
      <c r="Q9" s="101">
        <v>616</v>
      </c>
      <c r="R9" s="101">
        <v>686</v>
      </c>
      <c r="S9" s="101">
        <v>734</v>
      </c>
      <c r="T9" s="101">
        <v>832</v>
      </c>
      <c r="U9" s="101">
        <v>931</v>
      </c>
    </row>
    <row r="10" spans="1:22" x14ac:dyDescent="0.2">
      <c r="A10" s="101">
        <v>1750</v>
      </c>
      <c r="B10" s="101">
        <v>297</v>
      </c>
      <c r="C10" s="101">
        <v>367</v>
      </c>
      <c r="D10" s="101">
        <v>497</v>
      </c>
      <c r="E10" s="101">
        <v>552</v>
      </c>
      <c r="F10" s="101">
        <v>623</v>
      </c>
      <c r="G10" s="101">
        <v>651</v>
      </c>
      <c r="H10" s="101">
        <v>763</v>
      </c>
      <c r="I10" s="101">
        <v>863</v>
      </c>
      <c r="J10" s="101">
        <v>1520</v>
      </c>
      <c r="M10" s="101">
        <v>1700</v>
      </c>
      <c r="N10" s="101">
        <v>350</v>
      </c>
      <c r="O10" s="101">
        <v>470</v>
      </c>
      <c r="P10" s="101">
        <v>602</v>
      </c>
      <c r="Q10" s="101">
        <v>663</v>
      </c>
      <c r="R10" s="101">
        <v>739</v>
      </c>
      <c r="S10" s="101">
        <v>790</v>
      </c>
      <c r="T10" s="101">
        <v>896</v>
      </c>
      <c r="U10" s="101">
        <v>1003</v>
      </c>
    </row>
    <row r="11" spans="1:22" x14ac:dyDescent="0.2">
      <c r="A11" s="101">
        <v>1950</v>
      </c>
      <c r="B11" s="101">
        <v>339</v>
      </c>
      <c r="C11" s="101">
        <v>418</v>
      </c>
      <c r="D11" s="101">
        <v>567</v>
      </c>
      <c r="E11" s="101">
        <v>630</v>
      </c>
      <c r="F11" s="101">
        <v>711</v>
      </c>
      <c r="G11" s="101">
        <v>743</v>
      </c>
      <c r="H11" s="101">
        <v>872</v>
      </c>
      <c r="I11" s="101">
        <v>986</v>
      </c>
      <c r="J11" s="101">
        <v>1720</v>
      </c>
      <c r="M11" s="101">
        <v>1850</v>
      </c>
      <c r="N11" s="101">
        <v>388</v>
      </c>
      <c r="O11" s="101">
        <v>521</v>
      </c>
      <c r="P11" s="101">
        <v>667</v>
      </c>
      <c r="Q11" s="101">
        <v>734</v>
      </c>
      <c r="R11" s="101">
        <v>818</v>
      </c>
      <c r="S11" s="101">
        <v>875</v>
      </c>
      <c r="T11" s="101">
        <v>992</v>
      </c>
      <c r="U11" s="101">
        <v>1111</v>
      </c>
    </row>
    <row r="12" spans="1:22" x14ac:dyDescent="0.2">
      <c r="A12" s="101">
        <v>2150</v>
      </c>
      <c r="B12" s="101">
        <v>381</v>
      </c>
      <c r="C12" s="101">
        <v>471</v>
      </c>
      <c r="D12" s="101">
        <v>638</v>
      </c>
      <c r="E12" s="101">
        <v>709</v>
      </c>
      <c r="F12" s="101">
        <v>801</v>
      </c>
      <c r="G12" s="101">
        <v>836</v>
      </c>
      <c r="H12" s="101">
        <v>980</v>
      </c>
      <c r="I12" s="101">
        <v>1109</v>
      </c>
      <c r="J12" s="101">
        <v>1920</v>
      </c>
      <c r="M12" s="101">
        <v>2000</v>
      </c>
      <c r="N12" s="101">
        <v>425</v>
      </c>
      <c r="O12" s="101">
        <v>571</v>
      </c>
      <c r="P12" s="101">
        <v>731</v>
      </c>
      <c r="Q12" s="101">
        <v>805</v>
      </c>
      <c r="R12" s="101">
        <v>897</v>
      </c>
      <c r="S12" s="101">
        <v>960</v>
      </c>
      <c r="T12" s="101">
        <v>1088</v>
      </c>
      <c r="U12" s="101">
        <v>1218</v>
      </c>
    </row>
    <row r="13" spans="1:22" x14ac:dyDescent="0.2">
      <c r="A13" s="101">
        <v>2350</v>
      </c>
      <c r="B13" s="101">
        <v>424</v>
      </c>
      <c r="C13" s="101">
        <v>523</v>
      </c>
      <c r="D13" s="101">
        <v>709</v>
      </c>
      <c r="E13" s="101">
        <v>788</v>
      </c>
      <c r="F13" s="101">
        <v>890</v>
      </c>
      <c r="G13" s="101">
        <v>929</v>
      </c>
      <c r="H13" s="101">
        <v>1090</v>
      </c>
      <c r="I13" s="101">
        <v>1233</v>
      </c>
      <c r="J13" s="101">
        <v>2120</v>
      </c>
      <c r="M13" s="101">
        <v>2150</v>
      </c>
      <c r="N13" s="101">
        <v>463</v>
      </c>
      <c r="O13" s="101">
        <v>622</v>
      </c>
      <c r="P13" s="101">
        <v>796</v>
      </c>
      <c r="Q13" s="101">
        <v>876</v>
      </c>
      <c r="R13" s="101">
        <v>976</v>
      </c>
      <c r="S13" s="101">
        <v>1044</v>
      </c>
      <c r="T13" s="101">
        <v>1184</v>
      </c>
      <c r="U13" s="101">
        <v>1326</v>
      </c>
    </row>
    <row r="14" spans="1:22" x14ac:dyDescent="0.2">
      <c r="A14" s="101">
        <v>2550</v>
      </c>
      <c r="B14" s="101">
        <v>466</v>
      </c>
      <c r="C14" s="101">
        <v>575</v>
      </c>
      <c r="D14" s="101">
        <v>779</v>
      </c>
      <c r="E14" s="101">
        <v>866</v>
      </c>
      <c r="F14" s="101">
        <v>978</v>
      </c>
      <c r="G14" s="101">
        <v>1021</v>
      </c>
      <c r="H14" s="101">
        <v>1199</v>
      </c>
      <c r="I14" s="101">
        <v>1356</v>
      </c>
      <c r="J14" s="101">
        <v>2320</v>
      </c>
      <c r="M14" s="101">
        <v>2300</v>
      </c>
      <c r="N14" s="101">
        <v>500</v>
      </c>
      <c r="O14" s="101">
        <v>672</v>
      </c>
      <c r="P14" s="101">
        <v>860</v>
      </c>
      <c r="Q14" s="101">
        <v>947</v>
      </c>
      <c r="R14" s="101">
        <v>1055</v>
      </c>
      <c r="S14" s="101">
        <v>1129</v>
      </c>
      <c r="T14" s="101">
        <v>1279</v>
      </c>
      <c r="U14" s="101">
        <v>1433</v>
      </c>
    </row>
    <row r="15" spans="1:22" x14ac:dyDescent="0.2">
      <c r="A15" s="101">
        <v>2750</v>
      </c>
      <c r="B15" s="101">
        <v>508</v>
      </c>
      <c r="C15" s="101">
        <v>628</v>
      </c>
      <c r="D15" s="101">
        <v>851</v>
      </c>
      <c r="E15" s="101">
        <v>946</v>
      </c>
      <c r="F15" s="101">
        <v>1068</v>
      </c>
      <c r="G15" s="101">
        <v>1115</v>
      </c>
      <c r="H15" s="101">
        <v>1307</v>
      </c>
      <c r="I15" s="101">
        <v>1479</v>
      </c>
      <c r="J15" s="101">
        <v>2520</v>
      </c>
      <c r="M15" s="101">
        <v>2450</v>
      </c>
      <c r="N15" s="101">
        <v>538</v>
      </c>
      <c r="O15" s="101">
        <v>722</v>
      </c>
      <c r="P15" s="101">
        <v>925</v>
      </c>
      <c r="Q15" s="101">
        <v>1018</v>
      </c>
      <c r="R15" s="101">
        <v>1134</v>
      </c>
      <c r="S15" s="101">
        <v>1214</v>
      </c>
      <c r="T15" s="101">
        <v>1375</v>
      </c>
      <c r="U15" s="101">
        <v>1540</v>
      </c>
    </row>
    <row r="16" spans="1:22" x14ac:dyDescent="0.2">
      <c r="A16" s="101">
        <v>2950</v>
      </c>
      <c r="B16" s="101">
        <v>551</v>
      </c>
      <c r="C16" s="101">
        <v>680</v>
      </c>
      <c r="D16" s="101">
        <v>922</v>
      </c>
      <c r="E16" s="101">
        <v>1024</v>
      </c>
      <c r="F16" s="101">
        <v>1156</v>
      </c>
      <c r="G16" s="101">
        <v>1207</v>
      </c>
      <c r="H16" s="101">
        <v>1417</v>
      </c>
      <c r="I16" s="101">
        <v>1603</v>
      </c>
      <c r="J16" s="101">
        <v>2720</v>
      </c>
      <c r="M16" s="101">
        <v>2600</v>
      </c>
      <c r="N16" s="101">
        <v>575</v>
      </c>
      <c r="O16" s="101">
        <v>773</v>
      </c>
      <c r="P16" s="101">
        <v>989</v>
      </c>
      <c r="Q16" s="101">
        <v>1089</v>
      </c>
      <c r="R16" s="101">
        <v>1213</v>
      </c>
      <c r="S16" s="101">
        <v>1298</v>
      </c>
      <c r="T16" s="101">
        <v>1471</v>
      </c>
      <c r="U16" s="101">
        <v>1648</v>
      </c>
    </row>
    <row r="17" spans="1:21" x14ac:dyDescent="0.2">
      <c r="A17" s="101">
        <v>3150</v>
      </c>
      <c r="B17" s="101">
        <v>594</v>
      </c>
      <c r="C17" s="101">
        <v>732</v>
      </c>
      <c r="D17" s="101">
        <v>993</v>
      </c>
      <c r="E17" s="101">
        <v>1103</v>
      </c>
      <c r="F17" s="101">
        <v>1246</v>
      </c>
      <c r="G17" s="101">
        <v>1300</v>
      </c>
      <c r="H17" s="101">
        <v>1525</v>
      </c>
      <c r="I17" s="101">
        <v>1725</v>
      </c>
      <c r="J17" s="101">
        <v>2920</v>
      </c>
      <c r="M17" s="101">
        <v>2750</v>
      </c>
      <c r="N17" s="101">
        <v>613</v>
      </c>
      <c r="O17" s="101">
        <v>823</v>
      </c>
      <c r="P17" s="101">
        <v>1054</v>
      </c>
      <c r="Q17" s="101">
        <v>1160</v>
      </c>
      <c r="R17" s="101">
        <v>1292</v>
      </c>
      <c r="S17" s="101">
        <v>1383</v>
      </c>
      <c r="T17" s="101">
        <v>1567</v>
      </c>
      <c r="U17" s="101">
        <v>1755</v>
      </c>
    </row>
    <row r="18" spans="1:21" x14ac:dyDescent="0.2">
      <c r="A18" s="101">
        <v>3350</v>
      </c>
      <c r="B18" s="101">
        <v>635</v>
      </c>
      <c r="C18" s="101">
        <v>785</v>
      </c>
      <c r="D18" s="101">
        <v>1064</v>
      </c>
      <c r="E18" s="101">
        <v>1182</v>
      </c>
      <c r="F18" s="101">
        <v>1335</v>
      </c>
      <c r="G18" s="101">
        <v>1393</v>
      </c>
      <c r="H18" s="101">
        <v>1635</v>
      </c>
      <c r="I18" s="101">
        <v>1849</v>
      </c>
      <c r="J18" s="101">
        <v>3120</v>
      </c>
      <c r="M18" s="101">
        <v>2900</v>
      </c>
      <c r="N18" s="101">
        <v>650</v>
      </c>
      <c r="O18" s="101">
        <v>874</v>
      </c>
      <c r="P18" s="101">
        <v>1118</v>
      </c>
      <c r="Q18" s="101">
        <v>1231</v>
      </c>
      <c r="R18" s="101">
        <v>1372</v>
      </c>
      <c r="S18" s="101">
        <v>1468</v>
      </c>
      <c r="T18" s="101">
        <v>1663</v>
      </c>
      <c r="U18" s="101">
        <v>1863</v>
      </c>
    </row>
    <row r="19" spans="1:21" x14ac:dyDescent="0.2">
      <c r="A19" s="101">
        <v>3550</v>
      </c>
      <c r="B19" s="101">
        <v>678</v>
      </c>
      <c r="C19" s="101">
        <v>837</v>
      </c>
      <c r="D19" s="101">
        <v>1135</v>
      </c>
      <c r="E19" s="101">
        <v>1261</v>
      </c>
      <c r="F19" s="101">
        <v>1424</v>
      </c>
      <c r="G19" s="101">
        <v>1486</v>
      </c>
      <c r="H19" s="101">
        <v>1744</v>
      </c>
      <c r="I19" s="101">
        <v>1973</v>
      </c>
      <c r="J19" s="101">
        <v>3320</v>
      </c>
      <c r="M19" s="101">
        <v>3050</v>
      </c>
      <c r="N19" s="101">
        <v>688</v>
      </c>
      <c r="O19" s="101">
        <v>924</v>
      </c>
      <c r="P19" s="101">
        <v>1183</v>
      </c>
      <c r="Q19" s="101">
        <v>1302</v>
      </c>
      <c r="R19" s="101">
        <v>1451</v>
      </c>
      <c r="S19" s="101">
        <v>1552</v>
      </c>
      <c r="T19" s="101">
        <v>1759</v>
      </c>
      <c r="U19" s="101">
        <v>1970</v>
      </c>
    </row>
    <row r="20" spans="1:21" x14ac:dyDescent="0.2">
      <c r="A20" s="101">
        <v>3750</v>
      </c>
      <c r="B20" s="101">
        <v>721</v>
      </c>
      <c r="C20" s="101">
        <v>890</v>
      </c>
      <c r="D20" s="101">
        <v>1206</v>
      </c>
      <c r="E20" s="101">
        <v>1340</v>
      </c>
      <c r="F20" s="101">
        <v>1513</v>
      </c>
      <c r="G20" s="101">
        <v>1580</v>
      </c>
      <c r="H20" s="101">
        <v>1852</v>
      </c>
      <c r="I20" s="101">
        <v>2095</v>
      </c>
      <c r="J20" s="101">
        <v>3520</v>
      </c>
      <c r="M20" s="101">
        <v>3200</v>
      </c>
      <c r="N20" s="101">
        <v>725</v>
      </c>
      <c r="O20" s="101">
        <v>974</v>
      </c>
      <c r="P20" s="101">
        <v>1247</v>
      </c>
      <c r="Q20" s="101">
        <v>1373</v>
      </c>
      <c r="R20" s="101">
        <v>1530</v>
      </c>
      <c r="S20" s="101">
        <v>1637</v>
      </c>
      <c r="T20" s="101">
        <v>1855</v>
      </c>
      <c r="U20" s="101">
        <v>2078</v>
      </c>
    </row>
    <row r="21" spans="1:21" x14ac:dyDescent="0.2">
      <c r="A21" s="101">
        <v>3950</v>
      </c>
      <c r="B21" s="101">
        <v>763</v>
      </c>
      <c r="C21" s="101">
        <v>942</v>
      </c>
      <c r="D21" s="101">
        <v>1277</v>
      </c>
      <c r="E21" s="101">
        <v>1419</v>
      </c>
      <c r="F21" s="101">
        <v>1602</v>
      </c>
      <c r="G21" s="101">
        <v>1673</v>
      </c>
      <c r="H21" s="101">
        <v>1961</v>
      </c>
      <c r="I21" s="101">
        <v>2218</v>
      </c>
      <c r="J21" s="101">
        <v>3720</v>
      </c>
      <c r="M21" s="101">
        <v>3350</v>
      </c>
      <c r="N21" s="101">
        <v>763</v>
      </c>
      <c r="O21" s="101">
        <v>1025</v>
      </c>
      <c r="P21" s="101">
        <v>1312</v>
      </c>
      <c r="Q21" s="101">
        <v>1444</v>
      </c>
      <c r="R21" s="101">
        <v>1609</v>
      </c>
      <c r="S21" s="101">
        <v>1721</v>
      </c>
      <c r="T21" s="101">
        <v>1951</v>
      </c>
      <c r="U21" s="101">
        <v>2185</v>
      </c>
    </row>
    <row r="22" spans="1:21" x14ac:dyDescent="0.2">
      <c r="M22" s="101">
        <v>3500</v>
      </c>
      <c r="N22" s="101">
        <v>800</v>
      </c>
      <c r="O22" s="101">
        <v>1075</v>
      </c>
      <c r="P22" s="101">
        <v>1376</v>
      </c>
      <c r="Q22" s="101">
        <v>1515</v>
      </c>
      <c r="R22" s="101">
        <v>1688</v>
      </c>
      <c r="S22" s="101">
        <v>1806</v>
      </c>
      <c r="T22" s="101">
        <v>2047</v>
      </c>
      <c r="U22" s="101">
        <v>2293</v>
      </c>
    </row>
    <row r="23" spans="1:21" x14ac:dyDescent="0.2">
      <c r="M23" s="101">
        <v>3650</v>
      </c>
      <c r="N23" s="101">
        <v>838</v>
      </c>
      <c r="O23" s="101">
        <v>1126</v>
      </c>
      <c r="P23" s="101">
        <v>1441</v>
      </c>
      <c r="Q23" s="101">
        <v>1586</v>
      </c>
      <c r="R23" s="101">
        <v>1767</v>
      </c>
      <c r="S23" s="101">
        <v>1891</v>
      </c>
      <c r="T23" s="101">
        <v>2143</v>
      </c>
      <c r="U23" s="101">
        <v>2400</v>
      </c>
    </row>
    <row r="24" spans="1:21" x14ac:dyDescent="0.2">
      <c r="M24" s="101">
        <v>3800</v>
      </c>
      <c r="N24" s="101">
        <v>875</v>
      </c>
      <c r="O24" s="101">
        <v>1176</v>
      </c>
      <c r="P24" s="101">
        <v>1505</v>
      </c>
      <c r="Q24" s="101">
        <v>1657</v>
      </c>
      <c r="R24" s="101">
        <v>1846</v>
      </c>
      <c r="S24" s="101">
        <v>1975</v>
      </c>
      <c r="T24" s="101">
        <v>2239</v>
      </c>
      <c r="U24" s="101">
        <v>2508</v>
      </c>
    </row>
    <row r="25" spans="1:21" x14ac:dyDescent="0.2">
      <c r="M25" s="101">
        <v>3950</v>
      </c>
      <c r="N25" s="101">
        <v>913</v>
      </c>
      <c r="O25" s="101">
        <v>1226</v>
      </c>
      <c r="P25" s="101">
        <v>1570</v>
      </c>
      <c r="Q25" s="101">
        <v>1728</v>
      </c>
      <c r="R25" s="101">
        <v>1925</v>
      </c>
      <c r="S25" s="101">
        <v>2060</v>
      </c>
      <c r="T25" s="101">
        <v>2335</v>
      </c>
      <c r="U25" s="101">
        <v>2615</v>
      </c>
    </row>
    <row r="26" spans="1:21" x14ac:dyDescent="0.2">
      <c r="M26" s="101">
        <v>4100</v>
      </c>
      <c r="N26" s="101">
        <v>950</v>
      </c>
      <c r="O26" s="101">
        <v>1277</v>
      </c>
      <c r="P26" s="101">
        <v>1634</v>
      </c>
      <c r="Q26" s="101">
        <v>1799</v>
      </c>
      <c r="R26" s="101">
        <v>2005</v>
      </c>
      <c r="S26" s="101">
        <v>2145</v>
      </c>
      <c r="T26" s="101">
        <v>2431</v>
      </c>
      <c r="U26" s="101">
        <v>2723</v>
      </c>
    </row>
    <row r="27" spans="1:21" x14ac:dyDescent="0.2">
      <c r="M27" s="101">
        <v>4250</v>
      </c>
      <c r="N27" s="101">
        <v>988</v>
      </c>
      <c r="O27" s="101">
        <v>1327</v>
      </c>
      <c r="P27" s="101">
        <v>1699</v>
      </c>
      <c r="Q27" s="101">
        <v>1870</v>
      </c>
      <c r="R27" s="101">
        <v>2084</v>
      </c>
      <c r="S27" s="101">
        <v>2229</v>
      </c>
      <c r="T27" s="101">
        <v>2527</v>
      </c>
      <c r="U27" s="101">
        <v>2830</v>
      </c>
    </row>
    <row r="28" spans="1:21" x14ac:dyDescent="0.2">
      <c r="M28" s="101">
        <v>4400</v>
      </c>
      <c r="N28" s="101">
        <v>1025</v>
      </c>
      <c r="O28" s="101">
        <v>1378</v>
      </c>
      <c r="P28" s="101">
        <v>1763</v>
      </c>
      <c r="Q28" s="101">
        <v>1941</v>
      </c>
      <c r="R28" s="101">
        <v>2163</v>
      </c>
      <c r="S28" s="101">
        <v>2314</v>
      </c>
      <c r="T28" s="101">
        <v>2623</v>
      </c>
      <c r="U28" s="101">
        <v>2938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50CBE-D900-4C52-9D55-AFE46B1789BA}">
  <dimension ref="A1:U21"/>
  <sheetViews>
    <sheetView workbookViewId="0">
      <selection activeCell="F3" sqref="F3:G3"/>
    </sheetView>
  </sheetViews>
  <sheetFormatPr baseColWidth="10" defaultRowHeight="12.75" x14ac:dyDescent="0.2"/>
  <cols>
    <col min="1" max="16384" width="11.42578125" style="101"/>
  </cols>
  <sheetData>
    <row r="1" spans="1:21" x14ac:dyDescent="0.2">
      <c r="B1" s="101" t="s">
        <v>1143</v>
      </c>
      <c r="C1" s="101" t="s">
        <v>1144</v>
      </c>
      <c r="D1" s="101" t="s">
        <v>1145</v>
      </c>
      <c r="E1" s="101" t="s">
        <v>1146</v>
      </c>
      <c r="F1" s="101" t="s">
        <v>1147</v>
      </c>
      <c r="G1" s="101" t="s">
        <v>1148</v>
      </c>
      <c r="H1" s="101" t="s">
        <v>1149</v>
      </c>
      <c r="I1" s="101" t="s">
        <v>1150</v>
      </c>
      <c r="J1" s="101" t="s">
        <v>1141</v>
      </c>
      <c r="K1" s="101" t="s">
        <v>1159</v>
      </c>
      <c r="M1" s="101" t="s">
        <v>1160</v>
      </c>
      <c r="N1" s="101" t="s">
        <v>1143</v>
      </c>
      <c r="O1" s="101" t="s">
        <v>1144</v>
      </c>
      <c r="P1" s="101" t="s">
        <v>1145</v>
      </c>
      <c r="Q1" s="101" t="s">
        <v>1146</v>
      </c>
      <c r="R1" s="101" t="s">
        <v>1147</v>
      </c>
      <c r="S1" s="101" t="s">
        <v>1148</v>
      </c>
      <c r="T1" s="101" t="s">
        <v>1149</v>
      </c>
      <c r="U1" s="101" t="s">
        <v>1150</v>
      </c>
    </row>
    <row r="2" spans="1:21" x14ac:dyDescent="0.2">
      <c r="A2" s="101">
        <v>750</v>
      </c>
      <c r="B2" s="101">
        <v>88</v>
      </c>
      <c r="C2" s="101">
        <v>110</v>
      </c>
      <c r="D2" s="101">
        <v>167</v>
      </c>
      <c r="E2" s="101">
        <v>176</v>
      </c>
      <c r="F2" s="101">
        <v>215</v>
      </c>
      <c r="G2" s="101">
        <v>229</v>
      </c>
      <c r="H2" s="101">
        <v>266</v>
      </c>
      <c r="I2" s="101">
        <v>306</v>
      </c>
      <c r="J2" s="101">
        <v>520</v>
      </c>
      <c r="K2" s="101">
        <f>SUM(J2-90)</f>
        <v>430</v>
      </c>
      <c r="N2" s="101">
        <v>329</v>
      </c>
      <c r="O2" s="101">
        <v>361</v>
      </c>
      <c r="P2" s="101">
        <v>589</v>
      </c>
      <c r="Q2" s="101">
        <v>634</v>
      </c>
      <c r="R2" s="101">
        <v>783</v>
      </c>
      <c r="S2" s="101">
        <v>842</v>
      </c>
      <c r="T2" s="101">
        <v>1061</v>
      </c>
      <c r="U2" s="101">
        <v>1144</v>
      </c>
    </row>
    <row r="3" spans="1:21" x14ac:dyDescent="0.2">
      <c r="A3" s="101">
        <v>850</v>
      </c>
      <c r="B3" s="101">
        <v>110</v>
      </c>
      <c r="C3" s="101">
        <v>137</v>
      </c>
      <c r="D3" s="101">
        <v>208</v>
      </c>
      <c r="E3" s="101">
        <v>221</v>
      </c>
      <c r="F3" s="101">
        <v>269</v>
      </c>
      <c r="G3" s="101">
        <v>286</v>
      </c>
      <c r="H3" s="101">
        <v>332</v>
      </c>
      <c r="I3" s="101">
        <v>382</v>
      </c>
      <c r="J3" s="101">
        <v>620</v>
      </c>
      <c r="K3" s="101">
        <f t="shared" ref="K3:K21" si="0">SUM(J3-90)</f>
        <v>530</v>
      </c>
    </row>
    <row r="4" spans="1:21" x14ac:dyDescent="0.2">
      <c r="A4" s="101">
        <v>950</v>
      </c>
      <c r="B4" s="101">
        <v>132</v>
      </c>
      <c r="C4" s="101">
        <v>165</v>
      </c>
      <c r="D4" s="101">
        <v>250</v>
      </c>
      <c r="E4" s="101">
        <v>265</v>
      </c>
      <c r="F4" s="101">
        <v>322</v>
      </c>
      <c r="G4" s="101">
        <v>342</v>
      </c>
      <c r="H4" s="101">
        <v>399</v>
      </c>
      <c r="I4" s="101">
        <v>459</v>
      </c>
      <c r="J4" s="101">
        <v>720</v>
      </c>
      <c r="K4" s="101">
        <f t="shared" si="0"/>
        <v>630</v>
      </c>
    </row>
    <row r="5" spans="1:21" x14ac:dyDescent="0.2">
      <c r="A5" s="101">
        <v>1050</v>
      </c>
      <c r="B5" s="101">
        <v>154</v>
      </c>
      <c r="C5" s="101">
        <v>192</v>
      </c>
      <c r="D5" s="101">
        <v>292</v>
      </c>
      <c r="E5" s="101">
        <v>309</v>
      </c>
      <c r="F5" s="101">
        <v>376</v>
      </c>
      <c r="G5" s="101">
        <v>399</v>
      </c>
      <c r="H5" s="101">
        <v>465</v>
      </c>
      <c r="I5" s="101">
        <v>535</v>
      </c>
      <c r="J5" s="101">
        <v>820</v>
      </c>
      <c r="K5" s="101">
        <f t="shared" si="0"/>
        <v>730</v>
      </c>
    </row>
    <row r="6" spans="1:21" x14ac:dyDescent="0.2">
      <c r="A6" s="101">
        <v>1150</v>
      </c>
      <c r="B6" s="101">
        <v>176</v>
      </c>
      <c r="C6" s="101">
        <v>220</v>
      </c>
      <c r="D6" s="101">
        <v>333</v>
      </c>
      <c r="E6" s="101">
        <v>353</v>
      </c>
      <c r="F6" s="101">
        <v>429</v>
      </c>
      <c r="G6" s="101">
        <v>456</v>
      </c>
      <c r="H6" s="101">
        <v>531</v>
      </c>
      <c r="I6" s="101">
        <v>612</v>
      </c>
      <c r="J6" s="101">
        <v>920</v>
      </c>
      <c r="K6" s="101">
        <f t="shared" si="0"/>
        <v>830</v>
      </c>
    </row>
    <row r="7" spans="1:21" x14ac:dyDescent="0.2">
      <c r="A7" s="101">
        <v>1250</v>
      </c>
      <c r="B7" s="101">
        <v>198</v>
      </c>
      <c r="C7" s="101">
        <v>247</v>
      </c>
      <c r="D7" s="101">
        <v>375</v>
      </c>
      <c r="E7" s="101">
        <v>397</v>
      </c>
      <c r="F7" s="101">
        <v>483</v>
      </c>
      <c r="G7" s="101">
        <v>513</v>
      </c>
      <c r="H7" s="101">
        <v>598</v>
      </c>
      <c r="I7" s="101">
        <v>688</v>
      </c>
      <c r="J7" s="101">
        <v>1020</v>
      </c>
      <c r="K7" s="101">
        <f t="shared" si="0"/>
        <v>930</v>
      </c>
    </row>
    <row r="8" spans="1:21" x14ac:dyDescent="0.2">
      <c r="A8" s="101">
        <v>1350</v>
      </c>
      <c r="B8" s="101">
        <v>220</v>
      </c>
      <c r="C8" s="101">
        <v>274</v>
      </c>
      <c r="D8" s="101">
        <v>416</v>
      </c>
      <c r="E8" s="101">
        <v>440</v>
      </c>
      <c r="F8" s="101">
        <v>536</v>
      </c>
      <c r="G8" s="101">
        <v>569</v>
      </c>
      <c r="H8" s="101">
        <v>664</v>
      </c>
      <c r="I8" s="101">
        <v>764</v>
      </c>
      <c r="J8" s="101">
        <v>1120</v>
      </c>
      <c r="K8" s="101">
        <f t="shared" si="0"/>
        <v>1030</v>
      </c>
    </row>
    <row r="9" spans="1:21" x14ac:dyDescent="0.2">
      <c r="A9" s="101">
        <v>1550</v>
      </c>
      <c r="B9" s="101">
        <v>264</v>
      </c>
      <c r="C9" s="101">
        <v>329</v>
      </c>
      <c r="D9" s="101">
        <v>499</v>
      </c>
      <c r="E9" s="101">
        <v>528</v>
      </c>
      <c r="F9" s="101">
        <v>644</v>
      </c>
      <c r="G9" s="101">
        <v>684</v>
      </c>
      <c r="H9" s="101">
        <v>796</v>
      </c>
      <c r="I9" s="101">
        <v>916</v>
      </c>
      <c r="J9" s="101">
        <v>1320</v>
      </c>
      <c r="K9" s="101">
        <f t="shared" si="0"/>
        <v>1230</v>
      </c>
    </row>
    <row r="10" spans="1:21" x14ac:dyDescent="0.2">
      <c r="A10" s="101">
        <v>1750</v>
      </c>
      <c r="B10" s="101">
        <v>308</v>
      </c>
      <c r="C10" s="101">
        <v>384</v>
      </c>
      <c r="D10" s="101">
        <v>582</v>
      </c>
      <c r="E10" s="101">
        <v>617</v>
      </c>
      <c r="F10" s="101">
        <v>751</v>
      </c>
      <c r="G10" s="101">
        <v>797</v>
      </c>
      <c r="H10" s="101">
        <v>929</v>
      </c>
      <c r="I10" s="101">
        <v>1069</v>
      </c>
      <c r="J10" s="101">
        <v>1520</v>
      </c>
      <c r="K10" s="101">
        <f t="shared" si="0"/>
        <v>1430</v>
      </c>
    </row>
    <row r="11" spans="1:21" x14ac:dyDescent="0.2">
      <c r="A11" s="101">
        <v>1950</v>
      </c>
      <c r="B11" s="101">
        <v>352</v>
      </c>
      <c r="C11" s="101">
        <v>438</v>
      </c>
      <c r="D11" s="101">
        <v>665</v>
      </c>
      <c r="E11" s="101">
        <v>704</v>
      </c>
      <c r="F11" s="101">
        <v>858</v>
      </c>
      <c r="G11" s="101">
        <v>911</v>
      </c>
      <c r="H11" s="101">
        <v>1062</v>
      </c>
      <c r="I11" s="101">
        <v>1222</v>
      </c>
      <c r="J11" s="101">
        <v>1720</v>
      </c>
      <c r="K11" s="101">
        <f t="shared" si="0"/>
        <v>1630</v>
      </c>
    </row>
    <row r="12" spans="1:21" x14ac:dyDescent="0.2">
      <c r="A12" s="101">
        <v>2150</v>
      </c>
      <c r="B12" s="101">
        <v>396</v>
      </c>
      <c r="C12" s="101">
        <v>493</v>
      </c>
      <c r="D12" s="101">
        <v>749</v>
      </c>
      <c r="E12" s="101">
        <v>793</v>
      </c>
      <c r="F12" s="101">
        <v>966</v>
      </c>
      <c r="G12" s="101">
        <v>1025</v>
      </c>
      <c r="H12" s="101">
        <v>1195</v>
      </c>
      <c r="I12" s="101">
        <v>1375</v>
      </c>
      <c r="J12" s="101">
        <v>1920</v>
      </c>
      <c r="K12" s="101">
        <f t="shared" si="0"/>
        <v>1830</v>
      </c>
    </row>
    <row r="13" spans="1:21" x14ac:dyDescent="0.2">
      <c r="A13" s="101">
        <v>2350</v>
      </c>
      <c r="B13" s="101">
        <v>440</v>
      </c>
      <c r="C13" s="101">
        <v>548</v>
      </c>
      <c r="D13" s="101">
        <v>831</v>
      </c>
      <c r="E13" s="101">
        <v>880</v>
      </c>
      <c r="F13" s="101">
        <v>1072</v>
      </c>
      <c r="G13" s="101">
        <v>1139</v>
      </c>
      <c r="H13" s="101">
        <v>1328</v>
      </c>
      <c r="I13" s="101">
        <v>1528</v>
      </c>
      <c r="J13" s="101">
        <v>2120</v>
      </c>
      <c r="K13" s="101">
        <f t="shared" si="0"/>
        <v>2030</v>
      </c>
    </row>
    <row r="14" spans="1:21" x14ac:dyDescent="0.2">
      <c r="A14" s="101">
        <v>2550</v>
      </c>
      <c r="B14" s="101">
        <v>484</v>
      </c>
      <c r="C14" s="101">
        <v>603</v>
      </c>
      <c r="D14" s="101">
        <v>915</v>
      </c>
      <c r="E14" s="101">
        <v>968</v>
      </c>
      <c r="F14" s="101">
        <v>1180</v>
      </c>
      <c r="G14" s="101">
        <v>1253</v>
      </c>
      <c r="H14" s="101">
        <v>1461</v>
      </c>
      <c r="I14" s="101">
        <v>1681</v>
      </c>
      <c r="J14" s="101">
        <v>2320</v>
      </c>
      <c r="K14" s="101">
        <f t="shared" si="0"/>
        <v>2230</v>
      </c>
    </row>
    <row r="15" spans="1:21" x14ac:dyDescent="0.2">
      <c r="A15" s="101">
        <v>2750</v>
      </c>
      <c r="B15" s="101">
        <v>528</v>
      </c>
      <c r="C15" s="101">
        <v>657</v>
      </c>
      <c r="D15" s="101">
        <v>998</v>
      </c>
      <c r="E15" s="101">
        <v>1057</v>
      </c>
      <c r="F15" s="101">
        <v>1288</v>
      </c>
      <c r="G15" s="101">
        <v>1367</v>
      </c>
      <c r="H15" s="101">
        <v>1593</v>
      </c>
      <c r="I15" s="101">
        <v>1833</v>
      </c>
      <c r="J15" s="101">
        <v>2520</v>
      </c>
      <c r="K15" s="101">
        <f t="shared" si="0"/>
        <v>2430</v>
      </c>
    </row>
    <row r="16" spans="1:21" x14ac:dyDescent="0.2">
      <c r="A16" s="101">
        <v>2950</v>
      </c>
      <c r="B16" s="101">
        <v>572</v>
      </c>
      <c r="C16" s="101">
        <v>712</v>
      </c>
      <c r="D16" s="101">
        <v>1080</v>
      </c>
      <c r="E16" s="101">
        <v>1144</v>
      </c>
      <c r="F16" s="101">
        <v>1394</v>
      </c>
      <c r="G16" s="101">
        <v>1480</v>
      </c>
      <c r="H16" s="101">
        <v>1726</v>
      </c>
      <c r="I16" s="101">
        <v>1987</v>
      </c>
      <c r="J16" s="101">
        <v>2720</v>
      </c>
      <c r="K16" s="101">
        <f t="shared" si="0"/>
        <v>2630</v>
      </c>
    </row>
    <row r="17" spans="1:11" x14ac:dyDescent="0.2">
      <c r="A17" s="101">
        <v>3150</v>
      </c>
      <c r="B17" s="101">
        <v>617</v>
      </c>
      <c r="C17" s="101">
        <v>767</v>
      </c>
      <c r="D17" s="101">
        <v>1165</v>
      </c>
      <c r="E17" s="101">
        <v>1233</v>
      </c>
      <c r="F17" s="101">
        <v>1502</v>
      </c>
      <c r="G17" s="101">
        <v>1594</v>
      </c>
      <c r="H17" s="101">
        <v>1859</v>
      </c>
      <c r="I17" s="101">
        <v>2139</v>
      </c>
      <c r="J17" s="101">
        <v>2920</v>
      </c>
      <c r="K17" s="101">
        <f t="shared" si="0"/>
        <v>2830</v>
      </c>
    </row>
    <row r="18" spans="1:11" x14ac:dyDescent="0.2">
      <c r="A18" s="101">
        <v>3350</v>
      </c>
      <c r="B18" s="101">
        <v>660</v>
      </c>
      <c r="C18" s="101">
        <v>822</v>
      </c>
      <c r="D18" s="101">
        <v>1247</v>
      </c>
      <c r="E18" s="101">
        <v>1320</v>
      </c>
      <c r="F18" s="101">
        <v>1609</v>
      </c>
      <c r="G18" s="101">
        <v>1709</v>
      </c>
      <c r="H18" s="101">
        <v>1991</v>
      </c>
      <c r="I18" s="101">
        <v>2292</v>
      </c>
      <c r="J18" s="101">
        <v>3120</v>
      </c>
      <c r="K18" s="101">
        <f t="shared" si="0"/>
        <v>3030</v>
      </c>
    </row>
    <row r="19" spans="1:11" x14ac:dyDescent="0.2">
      <c r="A19" s="101">
        <v>3550</v>
      </c>
      <c r="B19" s="101">
        <v>704</v>
      </c>
      <c r="C19" s="101">
        <v>876</v>
      </c>
      <c r="D19" s="101">
        <v>1330</v>
      </c>
      <c r="E19" s="101">
        <v>1409</v>
      </c>
      <c r="F19" s="101">
        <v>1717</v>
      </c>
      <c r="G19" s="101">
        <v>1823</v>
      </c>
      <c r="H19" s="101">
        <v>2124</v>
      </c>
      <c r="I19" s="101">
        <v>2444</v>
      </c>
      <c r="J19" s="101">
        <v>3320</v>
      </c>
      <c r="K19" s="101">
        <f t="shared" si="0"/>
        <v>3230</v>
      </c>
    </row>
    <row r="20" spans="1:11" x14ac:dyDescent="0.2">
      <c r="A20" s="101">
        <v>3750</v>
      </c>
      <c r="B20" s="101">
        <v>748</v>
      </c>
      <c r="C20" s="101">
        <v>931</v>
      </c>
      <c r="D20" s="101">
        <v>1414</v>
      </c>
      <c r="E20" s="101">
        <v>1497</v>
      </c>
      <c r="F20" s="101">
        <v>1824</v>
      </c>
      <c r="G20" s="101">
        <v>1937</v>
      </c>
      <c r="H20" s="101">
        <v>2257</v>
      </c>
      <c r="I20" s="101">
        <v>2597</v>
      </c>
      <c r="J20" s="101">
        <v>3520</v>
      </c>
      <c r="K20" s="101">
        <f t="shared" si="0"/>
        <v>3430</v>
      </c>
    </row>
    <row r="21" spans="1:11" x14ac:dyDescent="0.2">
      <c r="A21" s="101">
        <v>3950</v>
      </c>
      <c r="B21" s="101">
        <v>792</v>
      </c>
      <c r="C21" s="101">
        <v>986</v>
      </c>
      <c r="D21" s="101">
        <v>1497</v>
      </c>
      <c r="E21" s="101">
        <v>1585</v>
      </c>
      <c r="F21" s="101">
        <v>1931</v>
      </c>
      <c r="G21" s="101">
        <v>2050</v>
      </c>
      <c r="H21" s="101">
        <v>2390</v>
      </c>
      <c r="I21" s="101">
        <v>2750</v>
      </c>
      <c r="J21" s="101">
        <v>3720</v>
      </c>
      <c r="K21" s="101">
        <f t="shared" si="0"/>
        <v>3630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5A7B6-C804-4810-90C9-ABE89BEC8C00}">
  <dimension ref="A1:BB51"/>
  <sheetViews>
    <sheetView topLeftCell="AD4" zoomScaleNormal="100" workbookViewId="0">
      <selection activeCell="F3" sqref="F3:G3"/>
    </sheetView>
  </sheetViews>
  <sheetFormatPr baseColWidth="10" defaultColWidth="7.85546875" defaultRowHeight="12.75" x14ac:dyDescent="0.2"/>
  <cols>
    <col min="1" max="1" width="7.85546875" style="101" customWidth="1"/>
    <col min="2" max="2" width="7.85546875" style="193" customWidth="1"/>
    <col min="3" max="16384" width="7.85546875" style="101"/>
  </cols>
  <sheetData>
    <row r="1" spans="1:54" ht="39" customHeight="1" x14ac:dyDescent="0.2">
      <c r="A1" s="192">
        <v>2</v>
      </c>
    </row>
    <row r="2" spans="1:54" ht="15.75" x14ac:dyDescent="0.25">
      <c r="A2" s="194" t="str">
        <f>VLOOKUP(57,TXT,$A$1,0)</f>
        <v>UMRECHNUNGSFAKTOREN   LIB-90 + LIB-109 + LIB-140 + LIB-190</v>
      </c>
      <c r="B2" s="195"/>
      <c r="C2" s="196"/>
      <c r="D2" s="196"/>
      <c r="E2" s="196"/>
      <c r="F2" s="196"/>
      <c r="G2" s="196"/>
      <c r="H2" s="196"/>
      <c r="I2" s="196"/>
      <c r="J2" s="196"/>
      <c r="K2" s="196"/>
      <c r="L2" s="197" t="s">
        <v>1405</v>
      </c>
      <c r="O2" s="101" t="s">
        <v>1406</v>
      </c>
      <c r="AC2" s="101" t="s">
        <v>1407</v>
      </c>
    </row>
    <row r="3" spans="1:54" s="102" customFormat="1" x14ac:dyDescent="0.2">
      <c r="B3" s="198"/>
    </row>
    <row r="4" spans="1:54" s="102" customFormat="1" x14ac:dyDescent="0.2">
      <c r="B4" s="198"/>
      <c r="C4" s="199"/>
      <c r="D4" s="199"/>
      <c r="E4" s="199"/>
      <c r="F4" s="199"/>
      <c r="G4" s="200" t="s">
        <v>1408</v>
      </c>
      <c r="H4" s="199"/>
      <c r="I4" s="199"/>
      <c r="J4" s="199"/>
      <c r="K4" s="199"/>
      <c r="L4" s="199"/>
      <c r="U4" s="102" t="s">
        <v>1409</v>
      </c>
      <c r="AI4" s="102" t="s">
        <v>1409</v>
      </c>
      <c r="AT4" s="102" t="s">
        <v>1409</v>
      </c>
    </row>
    <row r="5" spans="1:54" s="102" customFormat="1" x14ac:dyDescent="0.2">
      <c r="A5" s="201" t="s">
        <v>1410</v>
      </c>
      <c r="B5" s="198" t="s">
        <v>1411</v>
      </c>
      <c r="C5" s="202">
        <v>75</v>
      </c>
      <c r="D5" s="202">
        <v>70</v>
      </c>
      <c r="E5" s="202">
        <v>65</v>
      </c>
      <c r="F5" s="202">
        <v>60</v>
      </c>
      <c r="G5" s="202">
        <v>55</v>
      </c>
      <c r="H5" s="202">
        <v>50</v>
      </c>
      <c r="I5" s="202">
        <v>45</v>
      </c>
      <c r="J5" s="202">
        <v>40</v>
      </c>
      <c r="K5" s="202">
        <v>35</v>
      </c>
      <c r="L5" s="202">
        <v>30</v>
      </c>
      <c r="O5" s="102" t="s">
        <v>1412</v>
      </c>
      <c r="P5" s="102" t="s">
        <v>1413</v>
      </c>
      <c r="Q5" s="102">
        <v>75</v>
      </c>
      <c r="R5" s="102">
        <v>70</v>
      </c>
      <c r="S5" s="102">
        <v>65</v>
      </c>
      <c r="T5" s="102">
        <v>60</v>
      </c>
      <c r="U5" s="102">
        <v>55</v>
      </c>
      <c r="V5" s="102">
        <v>50</v>
      </c>
      <c r="W5" s="102">
        <v>45</v>
      </c>
      <c r="X5" s="102">
        <v>40</v>
      </c>
      <c r="Y5" s="102">
        <v>35</v>
      </c>
      <c r="Z5" s="102">
        <v>30</v>
      </c>
      <c r="AC5" s="102" t="s">
        <v>1412</v>
      </c>
      <c r="AD5" s="102" t="s">
        <v>1413</v>
      </c>
      <c r="AE5" s="102">
        <v>75</v>
      </c>
      <c r="AF5" s="102">
        <v>70</v>
      </c>
      <c r="AG5" s="102">
        <v>65</v>
      </c>
      <c r="AH5" s="102">
        <v>60</v>
      </c>
      <c r="AI5" s="102">
        <v>55</v>
      </c>
      <c r="AJ5" s="102">
        <v>50</v>
      </c>
      <c r="AK5" s="102">
        <v>45</v>
      </c>
      <c r="AL5" s="102">
        <v>40</v>
      </c>
      <c r="AM5" s="102">
        <v>35</v>
      </c>
      <c r="AN5" s="102">
        <v>30</v>
      </c>
      <c r="AQ5" s="102" t="s">
        <v>1412</v>
      </c>
      <c r="AR5" s="102" t="s">
        <v>1413</v>
      </c>
      <c r="AS5" s="102">
        <v>75</v>
      </c>
      <c r="AT5" s="102">
        <v>70</v>
      </c>
      <c r="AU5" s="102">
        <v>65</v>
      </c>
      <c r="AV5" s="102">
        <v>60</v>
      </c>
      <c r="AW5" s="102">
        <v>55</v>
      </c>
      <c r="AX5" s="102">
        <v>50</v>
      </c>
      <c r="AY5" s="102">
        <v>45</v>
      </c>
      <c r="AZ5" s="102">
        <v>40</v>
      </c>
      <c r="BA5" s="102">
        <v>35</v>
      </c>
      <c r="BB5" s="102">
        <v>30</v>
      </c>
    </row>
    <row r="6" spans="1:54" s="102" customFormat="1" x14ac:dyDescent="0.2">
      <c r="A6" s="203"/>
      <c r="B6" s="204">
        <v>18</v>
      </c>
      <c r="C6" s="205">
        <f t="shared" ref="C6:J9" si="0">VLOOKUP(($A$7+C$5)/2-$B6,FAKT_C109,2,-1)</f>
        <v>1.2675000000000001</v>
      </c>
      <c r="D6" s="205">
        <f t="shared" si="0"/>
        <v>1.1950000000000001</v>
      </c>
      <c r="E6" s="205">
        <f t="shared" si="0"/>
        <v>1.1245000000000001</v>
      </c>
      <c r="F6" s="205">
        <f t="shared" si="0"/>
        <v>1.0549999999999999</v>
      </c>
      <c r="G6" s="205">
        <f t="shared" si="0"/>
        <v>0.97499999999999998</v>
      </c>
      <c r="H6" s="205">
        <f t="shared" si="0"/>
        <v>0.89700000000000002</v>
      </c>
      <c r="I6" s="205">
        <f t="shared" si="0"/>
        <v>0.83050000000000002</v>
      </c>
      <c r="J6" s="205">
        <f t="shared" si="0"/>
        <v>0.76400000000000001</v>
      </c>
      <c r="K6" s="205"/>
      <c r="L6" s="205"/>
      <c r="P6" s="102">
        <v>18</v>
      </c>
      <c r="Q6" s="102">
        <v>1.27</v>
      </c>
      <c r="R6" s="102">
        <v>1.2</v>
      </c>
      <c r="S6" s="102">
        <v>1.1200000000000001</v>
      </c>
      <c r="T6" s="102">
        <v>1.04</v>
      </c>
      <c r="U6" s="102">
        <v>0.96</v>
      </c>
      <c r="V6" s="102">
        <v>0.88</v>
      </c>
      <c r="W6" s="102">
        <v>0.79</v>
      </c>
      <c r="X6" s="102">
        <v>0.7</v>
      </c>
      <c r="AD6" s="102">
        <v>18</v>
      </c>
      <c r="AE6" s="205">
        <f>SUM(Q6/C6)</f>
        <v>1.0019723865877712</v>
      </c>
      <c r="AF6" s="205">
        <f t="shared" ref="AF6:AL21" si="1">SUM(R6/D6)</f>
        <v>1.00418410041841</v>
      </c>
      <c r="AG6" s="205">
        <f t="shared" si="1"/>
        <v>0.99599822143174754</v>
      </c>
      <c r="AH6" s="205">
        <f t="shared" si="1"/>
        <v>0.98578199052132709</v>
      </c>
      <c r="AI6" s="205">
        <f t="shared" si="1"/>
        <v>0.98461538461538456</v>
      </c>
      <c r="AJ6" s="205">
        <f t="shared" si="1"/>
        <v>0.98104793756967668</v>
      </c>
      <c r="AK6" s="205">
        <f t="shared" si="1"/>
        <v>0.95123419626730887</v>
      </c>
      <c r="AL6" s="205">
        <f t="shared" si="1"/>
        <v>0.91623036649214651</v>
      </c>
      <c r="AM6" s="205"/>
      <c r="AN6" s="205"/>
      <c r="AQ6" s="102">
        <v>80</v>
      </c>
      <c r="AR6" s="102">
        <v>18</v>
      </c>
      <c r="AS6" s="206">
        <f t="shared" ref="AS6:BB21" si="2">SUM(($AQ6+AS$5)/2)-$AR6</f>
        <v>59.5</v>
      </c>
      <c r="AT6" s="206">
        <f t="shared" si="2"/>
        <v>57</v>
      </c>
      <c r="AU6" s="206">
        <f t="shared" si="2"/>
        <v>54.5</v>
      </c>
      <c r="AV6" s="206">
        <f t="shared" si="2"/>
        <v>52</v>
      </c>
      <c r="AW6" s="206">
        <f t="shared" si="2"/>
        <v>49.5</v>
      </c>
      <c r="AX6" s="206">
        <f t="shared" si="2"/>
        <v>47</v>
      </c>
      <c r="AY6" s="206">
        <f t="shared" si="2"/>
        <v>44.5</v>
      </c>
      <c r="AZ6" s="206">
        <f t="shared" si="2"/>
        <v>42</v>
      </c>
      <c r="BA6" s="206"/>
      <c r="BB6" s="206"/>
    </row>
    <row r="7" spans="1:54" s="102" customFormat="1" x14ac:dyDescent="0.2">
      <c r="A7" s="203">
        <v>80</v>
      </c>
      <c r="B7" s="207">
        <v>20</v>
      </c>
      <c r="C7" s="208">
        <f t="shared" si="0"/>
        <v>1.2095</v>
      </c>
      <c r="D7" s="208">
        <f t="shared" si="0"/>
        <v>1.139</v>
      </c>
      <c r="E7" s="208">
        <f t="shared" si="0"/>
        <v>1.069</v>
      </c>
      <c r="F7" s="208">
        <f t="shared" si="0"/>
        <v>1</v>
      </c>
      <c r="G7" s="208">
        <f t="shared" si="0"/>
        <v>0.91050000000000009</v>
      </c>
      <c r="H7" s="208">
        <f t="shared" si="0"/>
        <v>0.84399999999999997</v>
      </c>
      <c r="I7" s="208">
        <f t="shared" si="0"/>
        <v>0.77749999999999997</v>
      </c>
      <c r="J7" s="208">
        <f t="shared" si="0"/>
        <v>0.71099999999999997</v>
      </c>
      <c r="K7" s="208"/>
      <c r="L7" s="208"/>
      <c r="O7" s="102">
        <v>80</v>
      </c>
      <c r="P7" s="102">
        <v>20</v>
      </c>
      <c r="Q7" s="102">
        <v>1.21</v>
      </c>
      <c r="R7" s="102">
        <v>1.1399999999999999</v>
      </c>
      <c r="S7" s="102">
        <v>1.07</v>
      </c>
      <c r="T7" s="102">
        <v>0.98</v>
      </c>
      <c r="U7" s="102">
        <v>0.9</v>
      </c>
      <c r="V7" s="102">
        <v>0.82</v>
      </c>
      <c r="W7" s="102">
        <v>0.74</v>
      </c>
      <c r="X7" s="102">
        <v>0.65</v>
      </c>
      <c r="AC7" s="209">
        <v>80</v>
      </c>
      <c r="AD7" s="209">
        <v>20</v>
      </c>
      <c r="AE7" s="210">
        <f t="shared" ref="AE7:AE9" si="3">SUM(Q7/C7)</f>
        <v>1.0004133939644482</v>
      </c>
      <c r="AF7" s="210">
        <f t="shared" si="1"/>
        <v>1.0008779631255487</v>
      </c>
      <c r="AG7" s="210">
        <f t="shared" si="1"/>
        <v>1.0009354536950421</v>
      </c>
      <c r="AH7" s="210">
        <f t="shared" si="1"/>
        <v>0.98</v>
      </c>
      <c r="AI7" s="210">
        <f t="shared" si="1"/>
        <v>0.98846787479406917</v>
      </c>
      <c r="AJ7" s="210">
        <f t="shared" si="1"/>
        <v>0.97156398104265396</v>
      </c>
      <c r="AK7" s="210">
        <f t="shared" si="1"/>
        <v>0.95176848874598075</v>
      </c>
      <c r="AL7" s="210">
        <f t="shared" si="1"/>
        <v>0.91420534458509151</v>
      </c>
      <c r="AM7" s="210"/>
      <c r="AN7" s="210"/>
      <c r="AQ7" s="209">
        <v>80</v>
      </c>
      <c r="AR7" s="209">
        <v>20</v>
      </c>
      <c r="AS7" s="211">
        <f t="shared" si="2"/>
        <v>57.5</v>
      </c>
      <c r="AT7" s="211">
        <f t="shared" si="2"/>
        <v>55</v>
      </c>
      <c r="AU7" s="211">
        <f t="shared" si="2"/>
        <v>52.5</v>
      </c>
      <c r="AV7" s="211">
        <f t="shared" si="2"/>
        <v>50</v>
      </c>
      <c r="AW7" s="211">
        <f t="shared" si="2"/>
        <v>47.5</v>
      </c>
      <c r="AX7" s="211">
        <f t="shared" si="2"/>
        <v>45</v>
      </c>
      <c r="AY7" s="211">
        <f t="shared" si="2"/>
        <v>42.5</v>
      </c>
      <c r="AZ7" s="211">
        <f t="shared" si="2"/>
        <v>40</v>
      </c>
      <c r="BA7" s="211"/>
      <c r="BB7" s="211"/>
    </row>
    <row r="8" spans="1:54" s="102" customFormat="1" x14ac:dyDescent="0.2">
      <c r="A8" s="203"/>
      <c r="B8" s="204">
        <v>22</v>
      </c>
      <c r="C8" s="205">
        <f t="shared" si="0"/>
        <v>1.153</v>
      </c>
      <c r="D8" s="205">
        <f t="shared" si="0"/>
        <v>1.083</v>
      </c>
      <c r="E8" s="205">
        <f t="shared" si="0"/>
        <v>1.0135000000000001</v>
      </c>
      <c r="F8" s="205">
        <f t="shared" si="0"/>
        <v>0.92400000000000004</v>
      </c>
      <c r="G8" s="205">
        <f t="shared" si="0"/>
        <v>0.85750000000000004</v>
      </c>
      <c r="H8" s="205">
        <f t="shared" si="0"/>
        <v>0.79100000000000004</v>
      </c>
      <c r="I8" s="205">
        <f t="shared" si="0"/>
        <v>0.72449999999999992</v>
      </c>
      <c r="J8" s="205">
        <f t="shared" si="0"/>
        <v>0.65800000000000003</v>
      </c>
      <c r="K8" s="205"/>
      <c r="L8" s="205"/>
      <c r="P8" s="102">
        <v>22</v>
      </c>
      <c r="Q8" s="102">
        <v>1.1499999999999999</v>
      </c>
      <c r="R8" s="102">
        <v>1.08</v>
      </c>
      <c r="S8" s="102">
        <v>1.01</v>
      </c>
      <c r="T8" s="102">
        <v>0.93</v>
      </c>
      <c r="U8" s="102">
        <v>0.85</v>
      </c>
      <c r="V8" s="102">
        <v>0.77</v>
      </c>
      <c r="W8" s="102">
        <v>0.68</v>
      </c>
      <c r="X8" s="102">
        <v>0.6</v>
      </c>
      <c r="AD8" s="102">
        <v>22</v>
      </c>
      <c r="AE8" s="205">
        <f t="shared" si="3"/>
        <v>0.99739809193408491</v>
      </c>
      <c r="AF8" s="205">
        <f t="shared" si="1"/>
        <v>0.99722991689750706</v>
      </c>
      <c r="AG8" s="205">
        <f t="shared" si="1"/>
        <v>0.99654662062160826</v>
      </c>
      <c r="AH8" s="205">
        <f t="shared" si="1"/>
        <v>1.0064935064935066</v>
      </c>
      <c r="AI8" s="205">
        <f t="shared" si="1"/>
        <v>0.99125364431486873</v>
      </c>
      <c r="AJ8" s="205">
        <f t="shared" si="1"/>
        <v>0.97345132743362828</v>
      </c>
      <c r="AK8" s="205">
        <f t="shared" si="1"/>
        <v>0.93857832988267786</v>
      </c>
      <c r="AL8" s="205">
        <f t="shared" si="1"/>
        <v>0.91185410334346495</v>
      </c>
      <c r="AM8" s="205"/>
      <c r="AN8" s="205"/>
      <c r="AQ8" s="102">
        <v>80</v>
      </c>
      <c r="AR8" s="102">
        <v>22</v>
      </c>
      <c r="AS8" s="206">
        <f t="shared" si="2"/>
        <v>55.5</v>
      </c>
      <c r="AT8" s="206">
        <f t="shared" si="2"/>
        <v>53</v>
      </c>
      <c r="AU8" s="206">
        <f t="shared" si="2"/>
        <v>50.5</v>
      </c>
      <c r="AV8" s="206">
        <f t="shared" si="2"/>
        <v>48</v>
      </c>
      <c r="AW8" s="206">
        <f t="shared" si="2"/>
        <v>45.5</v>
      </c>
      <c r="AX8" s="206">
        <f t="shared" si="2"/>
        <v>43</v>
      </c>
      <c r="AY8" s="206">
        <f t="shared" si="2"/>
        <v>40.5</v>
      </c>
      <c r="AZ8" s="206">
        <f t="shared" si="2"/>
        <v>38</v>
      </c>
      <c r="BA8" s="206"/>
      <c r="BB8" s="206"/>
    </row>
    <row r="9" spans="1:54" s="102" customFormat="1" x14ac:dyDescent="0.2">
      <c r="A9" s="212"/>
      <c r="B9" s="213">
        <v>24</v>
      </c>
      <c r="C9" s="214">
        <f t="shared" si="0"/>
        <v>1.0965</v>
      </c>
      <c r="D9" s="214">
        <f t="shared" si="0"/>
        <v>1.0269999999999999</v>
      </c>
      <c r="E9" s="214">
        <f t="shared" si="0"/>
        <v>0.93700000000000006</v>
      </c>
      <c r="F9" s="214">
        <f t="shared" si="0"/>
        <v>0.871</v>
      </c>
      <c r="G9" s="214">
        <f t="shared" si="0"/>
        <v>0.80400000000000005</v>
      </c>
      <c r="H9" s="214">
        <f t="shared" si="0"/>
        <v>0.73799999999999999</v>
      </c>
      <c r="I9" s="214">
        <f t="shared" si="0"/>
        <v>0.67100000000000004</v>
      </c>
      <c r="J9" s="214">
        <f t="shared" si="0"/>
        <v>0.60499999999999998</v>
      </c>
      <c r="K9" s="214"/>
      <c r="L9" s="214"/>
      <c r="P9" s="102">
        <v>24</v>
      </c>
      <c r="Q9" s="102">
        <v>1.1000000000000001</v>
      </c>
      <c r="R9" s="215">
        <v>1.03</v>
      </c>
      <c r="S9" s="215">
        <v>0.96</v>
      </c>
      <c r="T9" s="102">
        <v>0.87</v>
      </c>
      <c r="U9" s="215">
        <v>0.8</v>
      </c>
      <c r="V9" s="102">
        <v>0.72</v>
      </c>
      <c r="W9" s="102">
        <v>0.63</v>
      </c>
      <c r="X9" s="102">
        <v>0.54</v>
      </c>
      <c r="AC9" s="110"/>
      <c r="AD9" s="110">
        <v>24</v>
      </c>
      <c r="AE9" s="216">
        <f t="shared" si="3"/>
        <v>1.0031919744642044</v>
      </c>
      <c r="AF9" s="216">
        <f t="shared" si="1"/>
        <v>1.0029211295034082</v>
      </c>
      <c r="AG9" s="216">
        <f t="shared" si="1"/>
        <v>1.0245464247598719</v>
      </c>
      <c r="AH9" s="217">
        <f t="shared" si="1"/>
        <v>0.99885189437428246</v>
      </c>
      <c r="AI9" s="216">
        <f t="shared" si="1"/>
        <v>0.99502487562189057</v>
      </c>
      <c r="AJ9" s="216">
        <f t="shared" si="1"/>
        <v>0.97560975609756095</v>
      </c>
      <c r="AK9" s="216">
        <f t="shared" si="1"/>
        <v>0.93889716840536508</v>
      </c>
      <c r="AL9" s="216">
        <f t="shared" si="1"/>
        <v>0.89256198347107452</v>
      </c>
      <c r="AM9" s="216"/>
      <c r="AN9" s="216"/>
      <c r="AQ9" s="110">
        <v>80</v>
      </c>
      <c r="AR9" s="110">
        <v>24</v>
      </c>
      <c r="AS9" s="218">
        <f t="shared" si="2"/>
        <v>53.5</v>
      </c>
      <c r="AT9" s="218">
        <f t="shared" si="2"/>
        <v>51</v>
      </c>
      <c r="AU9" s="218">
        <f t="shared" si="2"/>
        <v>48.5</v>
      </c>
      <c r="AV9" s="218">
        <f t="shared" si="2"/>
        <v>46</v>
      </c>
      <c r="AW9" s="218">
        <f t="shared" si="2"/>
        <v>43.5</v>
      </c>
      <c r="AX9" s="218">
        <f t="shared" si="2"/>
        <v>41</v>
      </c>
      <c r="AY9" s="218">
        <f t="shared" si="2"/>
        <v>38.5</v>
      </c>
      <c r="AZ9" s="218">
        <f t="shared" si="2"/>
        <v>36</v>
      </c>
      <c r="BA9" s="218"/>
      <c r="BB9" s="218"/>
    </row>
    <row r="10" spans="1:54" s="102" customFormat="1" x14ac:dyDescent="0.2">
      <c r="A10" s="203"/>
      <c r="B10" s="204">
        <v>18</v>
      </c>
      <c r="C10" s="205"/>
      <c r="D10" s="205">
        <f t="shared" ref="D10:K13" si="4">VLOOKUP(($A$11+D$5)/2-$B10,FAKT_C109,2,-1)</f>
        <v>1.1245000000000001</v>
      </c>
      <c r="E10" s="205">
        <f t="shared" si="4"/>
        <v>1.0549999999999999</v>
      </c>
      <c r="F10" s="205">
        <f t="shared" si="4"/>
        <v>0.97499999999999998</v>
      </c>
      <c r="G10" s="205">
        <f t="shared" si="4"/>
        <v>0.89700000000000002</v>
      </c>
      <c r="H10" s="205">
        <f t="shared" si="4"/>
        <v>0.83050000000000002</v>
      </c>
      <c r="I10" s="205">
        <f t="shared" si="4"/>
        <v>0.76400000000000001</v>
      </c>
      <c r="J10" s="205">
        <f t="shared" si="4"/>
        <v>0.69750000000000001</v>
      </c>
      <c r="K10" s="205">
        <f t="shared" si="4"/>
        <v>0.63100000000000001</v>
      </c>
      <c r="L10" s="205"/>
      <c r="P10" s="102">
        <v>18</v>
      </c>
      <c r="R10" s="215">
        <v>1.1200000000000001</v>
      </c>
      <c r="S10" s="215">
        <v>1.05</v>
      </c>
      <c r="T10" s="102">
        <v>0.99</v>
      </c>
      <c r="U10" s="215">
        <v>0.9</v>
      </c>
      <c r="V10" s="102">
        <v>0.82</v>
      </c>
      <c r="W10" s="102">
        <v>0.74</v>
      </c>
      <c r="X10" s="102">
        <v>0.66</v>
      </c>
      <c r="Y10" s="102">
        <v>0.56999999999999995</v>
      </c>
      <c r="AD10" s="102">
        <v>18</v>
      </c>
      <c r="AE10" s="205"/>
      <c r="AF10" s="219">
        <f t="shared" si="1"/>
        <v>0.99599822143174754</v>
      </c>
      <c r="AG10" s="219">
        <f t="shared" si="1"/>
        <v>0.99526066350710907</v>
      </c>
      <c r="AH10" s="219">
        <f t="shared" si="1"/>
        <v>1.0153846153846153</v>
      </c>
      <c r="AI10" s="205">
        <f t="shared" si="1"/>
        <v>1.0033444816053512</v>
      </c>
      <c r="AJ10" s="205">
        <f t="shared" si="1"/>
        <v>0.98735701384707997</v>
      </c>
      <c r="AK10" s="205">
        <f t="shared" si="1"/>
        <v>0.96858638743455494</v>
      </c>
      <c r="AL10" s="205">
        <f t="shared" si="1"/>
        <v>0.94623655913978499</v>
      </c>
      <c r="AM10" s="205">
        <f t="shared" ref="AM10:AN41" si="5">SUM(Y10/K10)</f>
        <v>0.90332805071315359</v>
      </c>
      <c r="AN10" s="205"/>
      <c r="AQ10" s="102">
        <v>75</v>
      </c>
      <c r="AR10" s="102">
        <v>18</v>
      </c>
      <c r="AS10" s="206"/>
      <c r="AT10" s="206">
        <f t="shared" si="2"/>
        <v>54.5</v>
      </c>
      <c r="AU10" s="206">
        <f t="shared" si="2"/>
        <v>52</v>
      </c>
      <c r="AV10" s="206">
        <f t="shared" si="2"/>
        <v>49.5</v>
      </c>
      <c r="AW10" s="206">
        <f t="shared" si="2"/>
        <v>47</v>
      </c>
      <c r="AX10" s="206">
        <f t="shared" si="2"/>
        <v>44.5</v>
      </c>
      <c r="AY10" s="206">
        <f t="shared" si="2"/>
        <v>42</v>
      </c>
      <c r="AZ10" s="206">
        <f t="shared" si="2"/>
        <v>39.5</v>
      </c>
      <c r="BA10" s="206">
        <f t="shared" si="2"/>
        <v>37</v>
      </c>
      <c r="BB10" s="206"/>
    </row>
    <row r="11" spans="1:54" s="102" customFormat="1" x14ac:dyDescent="0.2">
      <c r="A11" s="203">
        <v>75</v>
      </c>
      <c r="B11" s="207">
        <v>20</v>
      </c>
      <c r="C11" s="208"/>
      <c r="D11" s="208">
        <f t="shared" si="4"/>
        <v>1.069</v>
      </c>
      <c r="E11" s="208">
        <f t="shared" si="4"/>
        <v>1</v>
      </c>
      <c r="F11" s="208">
        <f t="shared" si="4"/>
        <v>0.91050000000000009</v>
      </c>
      <c r="G11" s="208">
        <f t="shared" si="4"/>
        <v>0.84399999999999997</v>
      </c>
      <c r="H11" s="208">
        <f t="shared" si="4"/>
        <v>0.77749999999999997</v>
      </c>
      <c r="I11" s="208">
        <f t="shared" si="4"/>
        <v>0.71099999999999997</v>
      </c>
      <c r="J11" s="208">
        <f t="shared" si="4"/>
        <v>0.64450000000000007</v>
      </c>
      <c r="K11" s="208">
        <f t="shared" si="4"/>
        <v>0.57799999999999996</v>
      </c>
      <c r="L11" s="208"/>
      <c r="O11" s="102">
        <v>75</v>
      </c>
      <c r="P11" s="102">
        <v>20</v>
      </c>
      <c r="R11" s="102">
        <v>1.07</v>
      </c>
      <c r="S11" s="102">
        <v>1</v>
      </c>
      <c r="T11" s="102">
        <v>0.93</v>
      </c>
      <c r="U11" s="102">
        <v>0.85</v>
      </c>
      <c r="V11" s="102">
        <v>0.77</v>
      </c>
      <c r="W11" s="102">
        <v>0.69</v>
      </c>
      <c r="X11" s="102">
        <v>0.61</v>
      </c>
      <c r="Y11" s="102">
        <v>0.52</v>
      </c>
      <c r="AC11" s="209">
        <v>75</v>
      </c>
      <c r="AD11" s="209">
        <v>20</v>
      </c>
      <c r="AE11" s="210"/>
      <c r="AF11" s="220">
        <f t="shared" si="1"/>
        <v>1.0009354536950421</v>
      </c>
      <c r="AG11" s="220">
        <f t="shared" si="1"/>
        <v>1</v>
      </c>
      <c r="AH11" s="210">
        <f t="shared" si="1"/>
        <v>1.0214168039538714</v>
      </c>
      <c r="AI11" s="210">
        <f t="shared" si="1"/>
        <v>1.0071090047393365</v>
      </c>
      <c r="AJ11" s="210">
        <f t="shared" si="1"/>
        <v>0.99035369774919624</v>
      </c>
      <c r="AK11" s="210">
        <f t="shared" si="1"/>
        <v>0.97046413502109707</v>
      </c>
      <c r="AL11" s="210">
        <f t="shared" si="1"/>
        <v>0.94647013188518214</v>
      </c>
      <c r="AM11" s="210">
        <f t="shared" si="5"/>
        <v>0.89965397923875445</v>
      </c>
      <c r="AN11" s="210"/>
      <c r="AQ11" s="209">
        <v>75</v>
      </c>
      <c r="AR11" s="209">
        <v>20</v>
      </c>
      <c r="AS11" s="211"/>
      <c r="AT11" s="211">
        <f t="shared" si="2"/>
        <v>52.5</v>
      </c>
      <c r="AU11" s="211">
        <f t="shared" si="2"/>
        <v>50</v>
      </c>
      <c r="AV11" s="211">
        <f t="shared" si="2"/>
        <v>47.5</v>
      </c>
      <c r="AW11" s="211">
        <f t="shared" si="2"/>
        <v>45</v>
      </c>
      <c r="AX11" s="211">
        <f t="shared" si="2"/>
        <v>42.5</v>
      </c>
      <c r="AY11" s="211">
        <f t="shared" si="2"/>
        <v>40</v>
      </c>
      <c r="AZ11" s="211">
        <f t="shared" si="2"/>
        <v>37.5</v>
      </c>
      <c r="BA11" s="211">
        <f t="shared" si="2"/>
        <v>35</v>
      </c>
      <c r="BB11" s="211"/>
    </row>
    <row r="12" spans="1:54" s="102" customFormat="1" x14ac:dyDescent="0.2">
      <c r="A12" s="203"/>
      <c r="B12" s="204">
        <v>22</v>
      </c>
      <c r="C12" s="205"/>
      <c r="D12" s="205">
        <f t="shared" si="4"/>
        <v>1.0135000000000001</v>
      </c>
      <c r="E12" s="205">
        <f t="shared" si="4"/>
        <v>0.92400000000000004</v>
      </c>
      <c r="F12" s="205">
        <f t="shared" si="4"/>
        <v>0.85750000000000004</v>
      </c>
      <c r="G12" s="205">
        <f t="shared" si="4"/>
        <v>0.79100000000000004</v>
      </c>
      <c r="H12" s="205">
        <f t="shared" si="4"/>
        <v>0.72449999999999992</v>
      </c>
      <c r="I12" s="205">
        <f t="shared" si="4"/>
        <v>0.65800000000000003</v>
      </c>
      <c r="J12" s="205">
        <f t="shared" si="4"/>
        <v>0.59149999999999991</v>
      </c>
      <c r="K12" s="205">
        <f t="shared" si="4"/>
        <v>0.52500000000000002</v>
      </c>
      <c r="L12" s="205"/>
      <c r="P12" s="102">
        <v>22</v>
      </c>
      <c r="R12" s="102">
        <v>1.01</v>
      </c>
      <c r="S12" s="102">
        <v>0.95</v>
      </c>
      <c r="T12" s="215">
        <v>0.88</v>
      </c>
      <c r="U12" s="102">
        <v>0.79</v>
      </c>
      <c r="V12" s="102">
        <v>0.72</v>
      </c>
      <c r="W12" s="102">
        <v>0.64</v>
      </c>
      <c r="X12" s="102">
        <v>0.55000000000000004</v>
      </c>
      <c r="Y12" s="102">
        <v>0.46</v>
      </c>
      <c r="AD12" s="102">
        <v>22</v>
      </c>
      <c r="AE12" s="205"/>
      <c r="AF12" s="205">
        <f t="shared" si="1"/>
        <v>0.99654662062160826</v>
      </c>
      <c r="AG12" s="205">
        <f t="shared" si="1"/>
        <v>1.028138528138528</v>
      </c>
      <c r="AH12" s="205">
        <f t="shared" si="1"/>
        <v>1.0262390670553936</v>
      </c>
      <c r="AI12" s="219">
        <f t="shared" si="1"/>
        <v>0.99873577749683939</v>
      </c>
      <c r="AJ12" s="205">
        <f t="shared" si="1"/>
        <v>0.9937888198757765</v>
      </c>
      <c r="AK12" s="205">
        <f t="shared" si="1"/>
        <v>0.97264437689969607</v>
      </c>
      <c r="AL12" s="205">
        <f t="shared" si="1"/>
        <v>0.9298393913778531</v>
      </c>
      <c r="AM12" s="205">
        <f t="shared" si="5"/>
        <v>0.87619047619047619</v>
      </c>
      <c r="AN12" s="205"/>
      <c r="AQ12" s="102">
        <v>75</v>
      </c>
      <c r="AR12" s="102">
        <v>22</v>
      </c>
      <c r="AS12" s="206"/>
      <c r="AT12" s="206">
        <f t="shared" si="2"/>
        <v>50.5</v>
      </c>
      <c r="AU12" s="206">
        <f t="shared" si="2"/>
        <v>48</v>
      </c>
      <c r="AV12" s="206">
        <f t="shared" si="2"/>
        <v>45.5</v>
      </c>
      <c r="AW12" s="206">
        <f t="shared" si="2"/>
        <v>43</v>
      </c>
      <c r="AX12" s="206">
        <f t="shared" si="2"/>
        <v>40.5</v>
      </c>
      <c r="AY12" s="206">
        <f t="shared" si="2"/>
        <v>38</v>
      </c>
      <c r="AZ12" s="206">
        <f t="shared" si="2"/>
        <v>35.5</v>
      </c>
      <c r="BA12" s="206">
        <f t="shared" si="2"/>
        <v>33</v>
      </c>
      <c r="BB12" s="206"/>
    </row>
    <row r="13" spans="1:54" s="102" customFormat="1" x14ac:dyDescent="0.2">
      <c r="A13" s="212"/>
      <c r="B13" s="213">
        <v>24</v>
      </c>
      <c r="C13" s="214"/>
      <c r="D13" s="214">
        <f t="shared" si="4"/>
        <v>0.93700000000000006</v>
      </c>
      <c r="E13" s="214">
        <f t="shared" si="4"/>
        <v>0.871</v>
      </c>
      <c r="F13" s="214">
        <f t="shared" si="4"/>
        <v>0.80400000000000005</v>
      </c>
      <c r="G13" s="214">
        <f t="shared" si="4"/>
        <v>0.73799999999999999</v>
      </c>
      <c r="H13" s="214">
        <f t="shared" si="4"/>
        <v>0.67100000000000004</v>
      </c>
      <c r="I13" s="214">
        <f t="shared" si="4"/>
        <v>0.60499999999999998</v>
      </c>
      <c r="J13" s="214">
        <f t="shared" si="4"/>
        <v>0.53800000000000003</v>
      </c>
      <c r="K13" s="214">
        <f t="shared" si="4"/>
        <v>0.47199999999999998</v>
      </c>
      <c r="L13" s="214"/>
      <c r="P13" s="102">
        <v>24</v>
      </c>
      <c r="R13" s="102">
        <v>0.96</v>
      </c>
      <c r="S13" s="215">
        <v>0.89</v>
      </c>
      <c r="T13" s="215">
        <v>0.93</v>
      </c>
      <c r="U13" s="215">
        <v>0.74</v>
      </c>
      <c r="V13" s="102">
        <v>0.67</v>
      </c>
      <c r="W13" s="102">
        <v>0.59</v>
      </c>
      <c r="X13" s="102">
        <v>0.5</v>
      </c>
      <c r="Y13" s="102">
        <v>0.41</v>
      </c>
      <c r="AC13" s="110"/>
      <c r="AD13" s="110">
        <v>24</v>
      </c>
      <c r="AE13" s="216"/>
      <c r="AF13" s="216">
        <f t="shared" si="1"/>
        <v>1.0245464247598719</v>
      </c>
      <c r="AG13" s="216">
        <f t="shared" si="1"/>
        <v>1.0218140068886337</v>
      </c>
      <c r="AH13" s="216">
        <f t="shared" si="1"/>
        <v>1.1567164179104477</v>
      </c>
      <c r="AI13" s="217">
        <f t="shared" si="1"/>
        <v>1.0027100271002709</v>
      </c>
      <c r="AJ13" s="217">
        <f t="shared" si="1"/>
        <v>0.99850968703427723</v>
      </c>
      <c r="AK13" s="216">
        <f t="shared" si="1"/>
        <v>0.97520661157024791</v>
      </c>
      <c r="AL13" s="216">
        <f t="shared" si="1"/>
        <v>0.92936802973977695</v>
      </c>
      <c r="AM13" s="216">
        <f t="shared" si="5"/>
        <v>0.86864406779661019</v>
      </c>
      <c r="AN13" s="216"/>
      <c r="AQ13" s="110">
        <v>75</v>
      </c>
      <c r="AR13" s="110">
        <v>24</v>
      </c>
      <c r="AS13" s="218"/>
      <c r="AT13" s="206">
        <f t="shared" si="2"/>
        <v>48.5</v>
      </c>
      <c r="AU13" s="218">
        <f t="shared" si="2"/>
        <v>46</v>
      </c>
      <c r="AV13" s="218">
        <f t="shared" si="2"/>
        <v>43.5</v>
      </c>
      <c r="AW13" s="218">
        <f t="shared" si="2"/>
        <v>41</v>
      </c>
      <c r="AX13" s="218">
        <f t="shared" si="2"/>
        <v>38.5</v>
      </c>
      <c r="AY13" s="218">
        <f t="shared" si="2"/>
        <v>36</v>
      </c>
      <c r="AZ13" s="218">
        <f t="shared" si="2"/>
        <v>33.5</v>
      </c>
      <c r="BA13" s="218">
        <f t="shared" si="2"/>
        <v>31</v>
      </c>
      <c r="BB13" s="218"/>
    </row>
    <row r="14" spans="1:54" s="102" customFormat="1" x14ac:dyDescent="0.2">
      <c r="A14" s="203"/>
      <c r="B14" s="204">
        <v>18</v>
      </c>
      <c r="C14" s="205"/>
      <c r="D14" s="205"/>
      <c r="E14" s="205">
        <f t="shared" ref="E14:L17" si="6">VLOOKUP(($A$15+E$5)/2-$B14,FAKT_C109,2,-1)</f>
        <v>0.97499999999999998</v>
      </c>
      <c r="F14" s="205">
        <f t="shared" si="6"/>
        <v>0.89700000000000002</v>
      </c>
      <c r="G14" s="205">
        <f t="shared" si="6"/>
        <v>0.83050000000000002</v>
      </c>
      <c r="H14" s="205">
        <f t="shared" si="6"/>
        <v>0.76400000000000001</v>
      </c>
      <c r="I14" s="205">
        <f t="shared" si="6"/>
        <v>0.69750000000000001</v>
      </c>
      <c r="J14" s="205">
        <f t="shared" si="6"/>
        <v>0.63100000000000001</v>
      </c>
      <c r="K14" s="205">
        <f t="shared" si="6"/>
        <v>0.5645</v>
      </c>
      <c r="L14" s="205">
        <f t="shared" si="6"/>
        <v>0.498</v>
      </c>
      <c r="P14" s="102">
        <v>18</v>
      </c>
      <c r="S14" s="215">
        <v>0.99</v>
      </c>
      <c r="T14" s="102">
        <v>0.92</v>
      </c>
      <c r="U14" s="215">
        <v>0.85</v>
      </c>
      <c r="V14" s="102">
        <v>0.77</v>
      </c>
      <c r="W14" s="102">
        <v>0.69</v>
      </c>
      <c r="X14" s="102">
        <v>0.61</v>
      </c>
      <c r="Y14" s="102">
        <v>0.53</v>
      </c>
      <c r="Z14" s="102">
        <v>0.44</v>
      </c>
      <c r="AC14" s="221"/>
      <c r="AD14" s="221">
        <v>18</v>
      </c>
      <c r="AE14" s="222"/>
      <c r="AF14" s="222"/>
      <c r="AG14" s="222">
        <f t="shared" si="1"/>
        <v>1.0153846153846153</v>
      </c>
      <c r="AH14" s="222">
        <f t="shared" si="1"/>
        <v>1.0256410256410258</v>
      </c>
      <c r="AI14" s="222">
        <f t="shared" si="1"/>
        <v>1.0234798314268512</v>
      </c>
      <c r="AJ14" s="223">
        <f t="shared" si="1"/>
        <v>1.0078534031413613</v>
      </c>
      <c r="AK14" s="222">
        <f t="shared" si="1"/>
        <v>0.98924731182795689</v>
      </c>
      <c r="AL14" s="222">
        <f t="shared" si="1"/>
        <v>0.9667194928684627</v>
      </c>
      <c r="AM14" s="222">
        <f t="shared" si="5"/>
        <v>0.93888396811337471</v>
      </c>
      <c r="AN14" s="222">
        <f t="shared" si="5"/>
        <v>0.88353413654618473</v>
      </c>
      <c r="AQ14" s="221">
        <v>70</v>
      </c>
      <c r="AR14" s="221">
        <v>18</v>
      </c>
      <c r="AS14" s="224"/>
      <c r="AT14" s="224"/>
      <c r="AU14" s="206">
        <f t="shared" si="2"/>
        <v>49.5</v>
      </c>
      <c r="AV14" s="206">
        <f t="shared" si="2"/>
        <v>47</v>
      </c>
      <c r="AW14" s="206">
        <f t="shared" si="2"/>
        <v>44.5</v>
      </c>
      <c r="AX14" s="206">
        <f t="shared" si="2"/>
        <v>42</v>
      </c>
      <c r="AY14" s="206">
        <f t="shared" si="2"/>
        <v>39.5</v>
      </c>
      <c r="AZ14" s="206">
        <f t="shared" si="2"/>
        <v>37</v>
      </c>
      <c r="BA14" s="206">
        <f t="shared" si="2"/>
        <v>34.5</v>
      </c>
      <c r="BB14" s="206">
        <f t="shared" si="2"/>
        <v>32</v>
      </c>
    </row>
    <row r="15" spans="1:54" s="102" customFormat="1" x14ac:dyDescent="0.2">
      <c r="A15" s="203">
        <v>70</v>
      </c>
      <c r="B15" s="207">
        <v>20</v>
      </c>
      <c r="C15" s="208"/>
      <c r="D15" s="208"/>
      <c r="E15" s="208">
        <f t="shared" si="6"/>
        <v>0.91050000000000009</v>
      </c>
      <c r="F15" s="208">
        <f t="shared" si="6"/>
        <v>0.84399999999999997</v>
      </c>
      <c r="G15" s="208">
        <f t="shared" si="6"/>
        <v>0.77749999999999997</v>
      </c>
      <c r="H15" s="208">
        <f t="shared" si="6"/>
        <v>0.71099999999999997</v>
      </c>
      <c r="I15" s="208">
        <f t="shared" si="6"/>
        <v>0.64450000000000007</v>
      </c>
      <c r="J15" s="208">
        <f t="shared" si="6"/>
        <v>0.57799999999999996</v>
      </c>
      <c r="K15" s="208">
        <f t="shared" si="6"/>
        <v>0.51150000000000007</v>
      </c>
      <c r="L15" s="208">
        <f t="shared" si="6"/>
        <v>0.44500000000000001</v>
      </c>
      <c r="O15" s="102">
        <v>70</v>
      </c>
      <c r="P15" s="102">
        <v>20</v>
      </c>
      <c r="S15" s="102">
        <v>0.93</v>
      </c>
      <c r="T15" s="102">
        <v>0.87</v>
      </c>
      <c r="U15" s="102">
        <v>0.8</v>
      </c>
      <c r="V15" s="102">
        <v>0.72</v>
      </c>
      <c r="W15" s="102">
        <v>0.64</v>
      </c>
      <c r="X15" s="102">
        <v>0.56000000000000005</v>
      </c>
      <c r="Y15" s="102">
        <v>0.48</v>
      </c>
      <c r="Z15" s="102">
        <v>0.39</v>
      </c>
      <c r="AC15" s="209">
        <v>70</v>
      </c>
      <c r="AD15" s="209">
        <v>20</v>
      </c>
      <c r="AE15" s="210"/>
      <c r="AF15" s="210"/>
      <c r="AG15" s="210">
        <f t="shared" si="1"/>
        <v>1.0214168039538714</v>
      </c>
      <c r="AH15" s="210">
        <f t="shared" si="1"/>
        <v>1.0308056872037914</v>
      </c>
      <c r="AI15" s="210">
        <f t="shared" si="1"/>
        <v>1.0289389067524117</v>
      </c>
      <c r="AJ15" s="210">
        <f t="shared" si="1"/>
        <v>1.0126582278481013</v>
      </c>
      <c r="AK15" s="210">
        <f t="shared" si="1"/>
        <v>0.99301784328937148</v>
      </c>
      <c r="AL15" s="210">
        <f t="shared" si="1"/>
        <v>0.96885813148788946</v>
      </c>
      <c r="AM15" s="210">
        <f t="shared" si="5"/>
        <v>0.93841642228738986</v>
      </c>
      <c r="AN15" s="210">
        <f t="shared" si="5"/>
        <v>0.8764044943820225</v>
      </c>
      <c r="AQ15" s="209">
        <v>70</v>
      </c>
      <c r="AR15" s="209">
        <v>20</v>
      </c>
      <c r="AS15" s="211"/>
      <c r="AT15" s="211"/>
      <c r="AU15" s="211">
        <f t="shared" si="2"/>
        <v>47.5</v>
      </c>
      <c r="AV15" s="211">
        <f t="shared" si="2"/>
        <v>45</v>
      </c>
      <c r="AW15" s="211">
        <f t="shared" si="2"/>
        <v>42.5</v>
      </c>
      <c r="AX15" s="211">
        <f t="shared" si="2"/>
        <v>40</v>
      </c>
      <c r="AY15" s="211">
        <f t="shared" si="2"/>
        <v>37.5</v>
      </c>
      <c r="AZ15" s="211">
        <f t="shared" si="2"/>
        <v>35</v>
      </c>
      <c r="BA15" s="211">
        <f t="shared" si="2"/>
        <v>32.5</v>
      </c>
      <c r="BB15" s="211">
        <f t="shared" si="2"/>
        <v>30</v>
      </c>
    </row>
    <row r="16" spans="1:54" s="102" customFormat="1" x14ac:dyDescent="0.2">
      <c r="A16" s="203"/>
      <c r="B16" s="204">
        <v>22</v>
      </c>
      <c r="C16" s="205"/>
      <c r="D16" s="205"/>
      <c r="E16" s="205">
        <f t="shared" si="6"/>
        <v>0.85750000000000004</v>
      </c>
      <c r="F16" s="205">
        <f t="shared" si="6"/>
        <v>0.79100000000000004</v>
      </c>
      <c r="G16" s="205">
        <f t="shared" si="6"/>
        <v>0.72449999999999992</v>
      </c>
      <c r="H16" s="205">
        <f t="shared" si="6"/>
        <v>0.65800000000000003</v>
      </c>
      <c r="I16" s="205">
        <f t="shared" si="6"/>
        <v>0.59149999999999991</v>
      </c>
      <c r="J16" s="205">
        <f t="shared" si="6"/>
        <v>0.52500000000000002</v>
      </c>
      <c r="K16" s="205">
        <f t="shared" si="6"/>
        <v>0.45850000000000002</v>
      </c>
      <c r="L16" s="205">
        <f t="shared" si="6"/>
        <v>0.40100000000000002</v>
      </c>
      <c r="P16" s="102">
        <v>22</v>
      </c>
      <c r="S16" s="102">
        <v>0.88</v>
      </c>
      <c r="T16" s="102">
        <v>0.81</v>
      </c>
      <c r="U16" s="102">
        <v>0.74</v>
      </c>
      <c r="V16" s="102">
        <v>0.67</v>
      </c>
      <c r="W16" s="102">
        <v>0.59</v>
      </c>
      <c r="X16" s="102">
        <v>0.51</v>
      </c>
      <c r="Y16" s="102">
        <v>0.43</v>
      </c>
      <c r="Z16" s="102">
        <v>0.33</v>
      </c>
      <c r="AD16" s="102">
        <v>22</v>
      </c>
      <c r="AE16" s="205"/>
      <c r="AF16" s="205"/>
      <c r="AG16" s="205">
        <f t="shared" si="1"/>
        <v>1.0262390670553936</v>
      </c>
      <c r="AH16" s="205">
        <f t="shared" si="1"/>
        <v>1.0240202275600505</v>
      </c>
      <c r="AI16" s="205">
        <f t="shared" si="1"/>
        <v>1.0213940648723259</v>
      </c>
      <c r="AJ16" s="205">
        <f t="shared" si="1"/>
        <v>1.0182370820668694</v>
      </c>
      <c r="AK16" s="219">
        <f t="shared" si="1"/>
        <v>0.99746407438715146</v>
      </c>
      <c r="AL16" s="205">
        <f t="shared" si="1"/>
        <v>0.97142857142857142</v>
      </c>
      <c r="AM16" s="205">
        <f t="shared" si="5"/>
        <v>0.93784078516902936</v>
      </c>
      <c r="AN16" s="205">
        <f t="shared" si="5"/>
        <v>0.82294264339152123</v>
      </c>
      <c r="AQ16" s="102">
        <v>70</v>
      </c>
      <c r="AR16" s="102">
        <v>22</v>
      </c>
      <c r="AS16" s="206"/>
      <c r="AT16" s="206"/>
      <c r="AU16" s="206">
        <f t="shared" si="2"/>
        <v>45.5</v>
      </c>
      <c r="AV16" s="206">
        <f t="shared" si="2"/>
        <v>43</v>
      </c>
      <c r="AW16" s="206">
        <f t="shared" si="2"/>
        <v>40.5</v>
      </c>
      <c r="AX16" s="206">
        <f t="shared" si="2"/>
        <v>38</v>
      </c>
      <c r="AY16" s="206">
        <f t="shared" si="2"/>
        <v>35.5</v>
      </c>
      <c r="AZ16" s="206">
        <f t="shared" si="2"/>
        <v>33</v>
      </c>
      <c r="BA16" s="206">
        <f t="shared" si="2"/>
        <v>30.5</v>
      </c>
      <c r="BB16" s="206">
        <f t="shared" si="2"/>
        <v>28</v>
      </c>
    </row>
    <row r="17" spans="1:54" s="102" customFormat="1" x14ac:dyDescent="0.2">
      <c r="A17" s="212"/>
      <c r="B17" s="213">
        <v>24</v>
      </c>
      <c r="C17" s="214"/>
      <c r="D17" s="214"/>
      <c r="E17" s="214">
        <f t="shared" si="6"/>
        <v>0.80400000000000005</v>
      </c>
      <c r="F17" s="214">
        <f t="shared" si="6"/>
        <v>0.73799999999999999</v>
      </c>
      <c r="G17" s="214">
        <f t="shared" si="6"/>
        <v>0.67100000000000004</v>
      </c>
      <c r="H17" s="214">
        <f t="shared" si="6"/>
        <v>0.60499999999999998</v>
      </c>
      <c r="I17" s="214">
        <f t="shared" si="6"/>
        <v>0.53800000000000003</v>
      </c>
      <c r="J17" s="214">
        <f t="shared" si="6"/>
        <v>0.47199999999999998</v>
      </c>
      <c r="K17" s="214">
        <f t="shared" si="6"/>
        <v>0.41200000000000003</v>
      </c>
      <c r="L17" s="214">
        <f t="shared" si="6"/>
        <v>0.35599999999999998</v>
      </c>
      <c r="P17" s="102">
        <v>24</v>
      </c>
      <c r="S17" s="102">
        <v>0.83</v>
      </c>
      <c r="T17" s="215">
        <v>0.76</v>
      </c>
      <c r="U17" s="102">
        <v>0.69</v>
      </c>
      <c r="V17" s="102">
        <v>0.62</v>
      </c>
      <c r="W17" s="102">
        <v>0.54</v>
      </c>
      <c r="X17" s="102">
        <v>0.46</v>
      </c>
      <c r="Y17" s="102">
        <v>0.38</v>
      </c>
      <c r="Z17" s="102">
        <v>0.28000000000000003</v>
      </c>
      <c r="AC17" s="110"/>
      <c r="AD17" s="110">
        <v>24</v>
      </c>
      <c r="AE17" s="216"/>
      <c r="AF17" s="216"/>
      <c r="AG17" s="216">
        <f t="shared" si="1"/>
        <v>1.0323383084577114</v>
      </c>
      <c r="AH17" s="216">
        <f t="shared" si="1"/>
        <v>1.0298102981029811</v>
      </c>
      <c r="AI17" s="216">
        <f t="shared" si="1"/>
        <v>1.028315946348733</v>
      </c>
      <c r="AJ17" s="216">
        <f t="shared" si="1"/>
        <v>1.024793388429752</v>
      </c>
      <c r="AK17" s="217">
        <f t="shared" si="1"/>
        <v>1.003717472118959</v>
      </c>
      <c r="AL17" s="217">
        <f t="shared" si="1"/>
        <v>0.97457627118644075</v>
      </c>
      <c r="AM17" s="216">
        <f t="shared" si="5"/>
        <v>0.92233009708737856</v>
      </c>
      <c r="AN17" s="216">
        <f t="shared" si="5"/>
        <v>0.78651685393258441</v>
      </c>
      <c r="AQ17" s="110">
        <v>70</v>
      </c>
      <c r="AR17" s="110">
        <v>24</v>
      </c>
      <c r="AS17" s="218"/>
      <c r="AT17" s="218"/>
      <c r="AU17" s="218">
        <f t="shared" si="2"/>
        <v>43.5</v>
      </c>
      <c r="AV17" s="218">
        <f t="shared" si="2"/>
        <v>41</v>
      </c>
      <c r="AW17" s="218">
        <f t="shared" si="2"/>
        <v>38.5</v>
      </c>
      <c r="AX17" s="218">
        <f t="shared" si="2"/>
        <v>36</v>
      </c>
      <c r="AY17" s="218">
        <f t="shared" si="2"/>
        <v>33.5</v>
      </c>
      <c r="AZ17" s="218">
        <f t="shared" si="2"/>
        <v>31</v>
      </c>
      <c r="BA17" s="218">
        <f t="shared" si="2"/>
        <v>28.5</v>
      </c>
      <c r="BB17" s="218">
        <f t="shared" si="2"/>
        <v>26</v>
      </c>
    </row>
    <row r="18" spans="1:54" s="102" customFormat="1" x14ac:dyDescent="0.2">
      <c r="A18" s="203"/>
      <c r="B18" s="204">
        <v>18</v>
      </c>
      <c r="C18" s="205"/>
      <c r="D18" s="205"/>
      <c r="E18" s="205"/>
      <c r="F18" s="205">
        <f t="shared" ref="F18:L21" si="7">VLOOKUP(($A$19+F$5)/2-$B18,FAKT_C109,2,-1)</f>
        <v>0.83050000000000002</v>
      </c>
      <c r="G18" s="205">
        <f t="shared" si="7"/>
        <v>0.76400000000000001</v>
      </c>
      <c r="H18" s="205">
        <f t="shared" si="7"/>
        <v>0.69750000000000001</v>
      </c>
      <c r="I18" s="205">
        <f t="shared" si="7"/>
        <v>0.63100000000000001</v>
      </c>
      <c r="J18" s="205">
        <f t="shared" si="7"/>
        <v>0.5645</v>
      </c>
      <c r="K18" s="205">
        <f t="shared" si="7"/>
        <v>0.498</v>
      </c>
      <c r="L18" s="205">
        <f t="shared" si="7"/>
        <v>0.434</v>
      </c>
      <c r="P18" s="102">
        <v>18</v>
      </c>
      <c r="T18" s="215">
        <v>0.85</v>
      </c>
      <c r="U18" s="102">
        <v>0.79</v>
      </c>
      <c r="V18" s="102">
        <v>0.71</v>
      </c>
      <c r="W18" s="102">
        <v>0.64</v>
      </c>
      <c r="X18" s="102">
        <v>0.56999999999999995</v>
      </c>
      <c r="Y18" s="102">
        <v>0.49</v>
      </c>
      <c r="Z18" s="102">
        <v>0.4</v>
      </c>
      <c r="AD18" s="102">
        <v>18</v>
      </c>
      <c r="AE18" s="205"/>
      <c r="AF18" s="205"/>
      <c r="AG18" s="205"/>
      <c r="AH18" s="205">
        <f t="shared" si="1"/>
        <v>1.0234798314268512</v>
      </c>
      <c r="AI18" s="205">
        <f t="shared" si="1"/>
        <v>1.0340314136125655</v>
      </c>
      <c r="AJ18" s="205">
        <f t="shared" si="1"/>
        <v>1.0179211469534049</v>
      </c>
      <c r="AK18" s="205">
        <f t="shared" si="1"/>
        <v>1.0142630744849446</v>
      </c>
      <c r="AL18" s="219">
        <f t="shared" si="1"/>
        <v>1.0097431355181576</v>
      </c>
      <c r="AM18" s="205">
        <f t="shared" si="5"/>
        <v>0.98393574297188757</v>
      </c>
      <c r="AN18" s="205">
        <f t="shared" si="5"/>
        <v>0.92165898617511521</v>
      </c>
      <c r="AQ18" s="102">
        <v>65</v>
      </c>
      <c r="AR18" s="102">
        <v>18</v>
      </c>
      <c r="AS18" s="206"/>
      <c r="AT18" s="206"/>
      <c r="AU18" s="206"/>
      <c r="AV18" s="206">
        <f t="shared" si="2"/>
        <v>44.5</v>
      </c>
      <c r="AW18" s="206">
        <f t="shared" si="2"/>
        <v>42</v>
      </c>
      <c r="AX18" s="206">
        <f t="shared" si="2"/>
        <v>39.5</v>
      </c>
      <c r="AY18" s="206">
        <f t="shared" si="2"/>
        <v>37</v>
      </c>
      <c r="AZ18" s="206">
        <f t="shared" si="2"/>
        <v>34.5</v>
      </c>
      <c r="BA18" s="206">
        <f t="shared" si="2"/>
        <v>32</v>
      </c>
      <c r="BB18" s="206">
        <f t="shared" si="2"/>
        <v>29.5</v>
      </c>
    </row>
    <row r="19" spans="1:54" s="102" customFormat="1" x14ac:dyDescent="0.2">
      <c r="A19" s="203">
        <v>65</v>
      </c>
      <c r="B19" s="207">
        <v>20</v>
      </c>
      <c r="C19" s="208"/>
      <c r="D19" s="208"/>
      <c r="E19" s="208"/>
      <c r="F19" s="208">
        <f t="shared" si="7"/>
        <v>0.77749999999999997</v>
      </c>
      <c r="G19" s="208">
        <f t="shared" si="7"/>
        <v>0.71099999999999997</v>
      </c>
      <c r="H19" s="208">
        <f t="shared" si="7"/>
        <v>0.64450000000000007</v>
      </c>
      <c r="I19" s="208">
        <f t="shared" si="7"/>
        <v>0.57799999999999996</v>
      </c>
      <c r="J19" s="208">
        <f t="shared" si="7"/>
        <v>0.51150000000000007</v>
      </c>
      <c r="K19" s="208">
        <f t="shared" si="7"/>
        <v>0.44500000000000001</v>
      </c>
      <c r="L19" s="208">
        <f t="shared" si="7"/>
        <v>0.38950000000000001</v>
      </c>
      <c r="O19" s="102">
        <v>65</v>
      </c>
      <c r="P19" s="102">
        <v>20</v>
      </c>
      <c r="T19" s="102">
        <v>0.8</v>
      </c>
      <c r="U19" s="102">
        <v>0.74</v>
      </c>
      <c r="V19" s="102">
        <v>0.66</v>
      </c>
      <c r="W19" s="102">
        <v>0.59</v>
      </c>
      <c r="X19" s="102">
        <v>0.52</v>
      </c>
      <c r="Y19" s="102">
        <v>0.44</v>
      </c>
      <c r="Z19" s="102">
        <v>0.35</v>
      </c>
      <c r="AC19" s="209">
        <v>65</v>
      </c>
      <c r="AD19" s="209">
        <v>20</v>
      </c>
      <c r="AE19" s="210"/>
      <c r="AF19" s="210"/>
      <c r="AG19" s="210"/>
      <c r="AH19" s="210">
        <f t="shared" si="1"/>
        <v>1.0289389067524117</v>
      </c>
      <c r="AI19" s="210">
        <f t="shared" si="1"/>
        <v>1.0407876230661042</v>
      </c>
      <c r="AJ19" s="210">
        <f t="shared" si="1"/>
        <v>1.0240496508921644</v>
      </c>
      <c r="AK19" s="210">
        <f t="shared" si="1"/>
        <v>1.0207612456747406</v>
      </c>
      <c r="AL19" s="210">
        <f t="shared" si="1"/>
        <v>1.0166177908113392</v>
      </c>
      <c r="AM19" s="210">
        <f t="shared" si="5"/>
        <v>0.9887640449438202</v>
      </c>
      <c r="AN19" s="210">
        <f t="shared" si="5"/>
        <v>0.89858793324775343</v>
      </c>
      <c r="AQ19" s="209">
        <v>65</v>
      </c>
      <c r="AR19" s="209">
        <v>20</v>
      </c>
      <c r="AS19" s="211"/>
      <c r="AT19" s="211"/>
      <c r="AU19" s="211"/>
      <c r="AV19" s="211">
        <f t="shared" si="2"/>
        <v>42.5</v>
      </c>
      <c r="AW19" s="211">
        <f t="shared" si="2"/>
        <v>40</v>
      </c>
      <c r="AX19" s="211">
        <f t="shared" si="2"/>
        <v>37.5</v>
      </c>
      <c r="AY19" s="211">
        <f t="shared" si="2"/>
        <v>35</v>
      </c>
      <c r="AZ19" s="211">
        <f t="shared" si="2"/>
        <v>32.5</v>
      </c>
      <c r="BA19" s="211">
        <f t="shared" si="2"/>
        <v>30</v>
      </c>
      <c r="BB19" s="211">
        <f t="shared" si="2"/>
        <v>27.5</v>
      </c>
    </row>
    <row r="20" spans="1:54" s="102" customFormat="1" x14ac:dyDescent="0.2">
      <c r="A20" s="203"/>
      <c r="B20" s="204">
        <v>22</v>
      </c>
      <c r="C20" s="205"/>
      <c r="D20" s="205"/>
      <c r="E20" s="205"/>
      <c r="F20" s="205">
        <f t="shared" si="7"/>
        <v>0.72449999999999992</v>
      </c>
      <c r="G20" s="205">
        <f t="shared" si="7"/>
        <v>0.65800000000000003</v>
      </c>
      <c r="H20" s="205">
        <f t="shared" si="7"/>
        <v>0.59149999999999991</v>
      </c>
      <c r="I20" s="205">
        <f t="shared" si="7"/>
        <v>0.52500000000000002</v>
      </c>
      <c r="J20" s="205">
        <f t="shared" si="7"/>
        <v>0.45850000000000002</v>
      </c>
      <c r="K20" s="205">
        <f t="shared" si="7"/>
        <v>0.40100000000000002</v>
      </c>
      <c r="L20" s="205">
        <f t="shared" si="7"/>
        <v>0.34499999999999997</v>
      </c>
      <c r="P20" s="102">
        <v>22</v>
      </c>
      <c r="T20" s="102">
        <v>0.75</v>
      </c>
      <c r="U20" s="102">
        <v>0.69</v>
      </c>
      <c r="V20" s="102">
        <v>0.61</v>
      </c>
      <c r="W20" s="102">
        <v>0.54</v>
      </c>
      <c r="X20" s="102">
        <v>0.47</v>
      </c>
      <c r="Y20" s="102">
        <v>0.39</v>
      </c>
      <c r="Z20" s="102">
        <v>0.3</v>
      </c>
      <c r="AD20" s="102">
        <v>22</v>
      </c>
      <c r="AE20" s="205"/>
      <c r="AF20" s="205"/>
      <c r="AG20" s="205"/>
      <c r="AH20" s="205">
        <f t="shared" si="1"/>
        <v>1.0351966873706004</v>
      </c>
      <c r="AI20" s="205">
        <f t="shared" si="1"/>
        <v>1.0486322188449846</v>
      </c>
      <c r="AJ20" s="205">
        <f t="shared" si="1"/>
        <v>1.0312764158918006</v>
      </c>
      <c r="AK20" s="205">
        <f t="shared" si="1"/>
        <v>1.0285714285714287</v>
      </c>
      <c r="AL20" s="205">
        <f t="shared" si="1"/>
        <v>1.025081788440567</v>
      </c>
      <c r="AM20" s="205">
        <f t="shared" si="5"/>
        <v>0.97256857855361589</v>
      </c>
      <c r="AN20" s="205">
        <f t="shared" si="5"/>
        <v>0.86956521739130443</v>
      </c>
      <c r="AQ20" s="102">
        <v>65</v>
      </c>
      <c r="AR20" s="102">
        <v>22</v>
      </c>
      <c r="AS20" s="206"/>
      <c r="AT20" s="206"/>
      <c r="AU20" s="206"/>
      <c r="AV20" s="206">
        <f t="shared" si="2"/>
        <v>40.5</v>
      </c>
      <c r="AW20" s="206">
        <f t="shared" si="2"/>
        <v>38</v>
      </c>
      <c r="AX20" s="206">
        <f t="shared" si="2"/>
        <v>35.5</v>
      </c>
      <c r="AY20" s="206">
        <f t="shared" si="2"/>
        <v>33</v>
      </c>
      <c r="AZ20" s="206">
        <f t="shared" si="2"/>
        <v>30.5</v>
      </c>
      <c r="BA20" s="206">
        <f t="shared" si="2"/>
        <v>28</v>
      </c>
      <c r="BB20" s="206">
        <f t="shared" si="2"/>
        <v>25.5</v>
      </c>
    </row>
    <row r="21" spans="1:54" s="102" customFormat="1" x14ac:dyDescent="0.2">
      <c r="A21" s="212"/>
      <c r="B21" s="225">
        <v>24</v>
      </c>
      <c r="C21" s="226"/>
      <c r="D21" s="226"/>
      <c r="E21" s="226"/>
      <c r="F21" s="226">
        <f t="shared" si="7"/>
        <v>0.67100000000000004</v>
      </c>
      <c r="G21" s="226">
        <f t="shared" si="7"/>
        <v>0.60499999999999998</v>
      </c>
      <c r="H21" s="226">
        <f t="shared" si="7"/>
        <v>0.53800000000000003</v>
      </c>
      <c r="I21" s="226">
        <f t="shared" si="7"/>
        <v>0.47199999999999998</v>
      </c>
      <c r="J21" s="226">
        <f t="shared" si="7"/>
        <v>0.41200000000000003</v>
      </c>
      <c r="K21" s="226">
        <f t="shared" si="7"/>
        <v>0.35599999999999998</v>
      </c>
      <c r="L21" s="226">
        <f t="shared" si="7"/>
        <v>0.30549999999999999</v>
      </c>
      <c r="P21" s="102">
        <v>24</v>
      </c>
      <c r="T21" s="102">
        <v>0.7</v>
      </c>
      <c r="U21" s="102">
        <v>0.64</v>
      </c>
      <c r="V21" s="102">
        <v>0.56999999999999995</v>
      </c>
      <c r="W21" s="102">
        <v>0.5</v>
      </c>
      <c r="X21" s="102">
        <v>0.42</v>
      </c>
      <c r="Y21" s="102">
        <v>0.34</v>
      </c>
      <c r="Z21" s="102">
        <v>0.25</v>
      </c>
      <c r="AC21" s="110"/>
      <c r="AD21" s="110">
        <v>24</v>
      </c>
      <c r="AE21" s="216"/>
      <c r="AF21" s="216"/>
      <c r="AG21" s="216"/>
      <c r="AH21" s="216">
        <f t="shared" si="1"/>
        <v>1.0432190760059612</v>
      </c>
      <c r="AI21" s="216">
        <f t="shared" si="1"/>
        <v>1.0578512396694215</v>
      </c>
      <c r="AJ21" s="216">
        <f t="shared" si="1"/>
        <v>1.0594795539033455</v>
      </c>
      <c r="AK21" s="216">
        <f t="shared" si="1"/>
        <v>1.0593220338983051</v>
      </c>
      <c r="AL21" s="216">
        <f t="shared" si="1"/>
        <v>1.0194174757281553</v>
      </c>
      <c r="AM21" s="217">
        <f t="shared" si="5"/>
        <v>0.95505617977528101</v>
      </c>
      <c r="AN21" s="216">
        <f t="shared" si="5"/>
        <v>0.81833060556464809</v>
      </c>
      <c r="AQ21" s="110">
        <v>65</v>
      </c>
      <c r="AR21" s="110">
        <v>24</v>
      </c>
      <c r="AS21" s="218"/>
      <c r="AT21" s="218"/>
      <c r="AU21" s="218"/>
      <c r="AV21" s="218">
        <f t="shared" si="2"/>
        <v>38.5</v>
      </c>
      <c r="AW21" s="218">
        <f t="shared" si="2"/>
        <v>36</v>
      </c>
      <c r="AX21" s="218">
        <f t="shared" si="2"/>
        <v>33.5</v>
      </c>
      <c r="AY21" s="218">
        <f t="shared" si="2"/>
        <v>31</v>
      </c>
      <c r="AZ21" s="218">
        <f t="shared" si="2"/>
        <v>28.5</v>
      </c>
      <c r="BA21" s="218">
        <f t="shared" si="2"/>
        <v>26</v>
      </c>
      <c r="BB21" s="218">
        <f t="shared" si="2"/>
        <v>23.5</v>
      </c>
    </row>
    <row r="22" spans="1:54" s="102" customFormat="1" x14ac:dyDescent="0.2">
      <c r="A22" s="203"/>
      <c r="B22" s="204">
        <v>18</v>
      </c>
      <c r="C22" s="205"/>
      <c r="D22" s="205"/>
      <c r="E22" s="205"/>
      <c r="F22" s="205"/>
      <c r="G22" s="205">
        <f t="shared" ref="G22:L25" si="8">VLOOKUP(($A$23+G$5)/2-$B22,FAKT_C109,2,-1)</f>
        <v>0.69750000000000001</v>
      </c>
      <c r="H22" s="205">
        <f t="shared" si="8"/>
        <v>0.63100000000000001</v>
      </c>
      <c r="I22" s="205">
        <f t="shared" si="8"/>
        <v>0.5645</v>
      </c>
      <c r="J22" s="205">
        <f t="shared" si="8"/>
        <v>0.498</v>
      </c>
      <c r="K22" s="205">
        <f t="shared" si="8"/>
        <v>0.434</v>
      </c>
      <c r="L22" s="205">
        <f t="shared" si="8"/>
        <v>0.378</v>
      </c>
      <c r="P22" s="102">
        <v>18</v>
      </c>
      <c r="U22" s="102">
        <v>0.73</v>
      </c>
      <c r="V22" s="102">
        <v>0.66</v>
      </c>
      <c r="W22" s="102">
        <v>0.59</v>
      </c>
      <c r="X22" s="102">
        <v>0.52</v>
      </c>
      <c r="Y22" s="102">
        <v>0.45</v>
      </c>
      <c r="Z22" s="102">
        <v>0.37</v>
      </c>
      <c r="AD22" s="102">
        <v>18</v>
      </c>
      <c r="AE22" s="205"/>
      <c r="AF22" s="205"/>
      <c r="AG22" s="205"/>
      <c r="AH22" s="205"/>
      <c r="AI22" s="205">
        <f t="shared" ref="AI22:AL37" si="9">SUM(U22/G22)</f>
        <v>1.0465949820788529</v>
      </c>
      <c r="AJ22" s="205">
        <f t="shared" si="9"/>
        <v>1.0459587955625991</v>
      </c>
      <c r="AK22" s="205">
        <f t="shared" si="9"/>
        <v>1.0451727192205491</v>
      </c>
      <c r="AL22" s="205">
        <f t="shared" si="9"/>
        <v>1.0441767068273093</v>
      </c>
      <c r="AM22" s="219">
        <f t="shared" si="5"/>
        <v>1.0368663594470047</v>
      </c>
      <c r="AN22" s="205">
        <f t="shared" si="5"/>
        <v>0.97883597883597884</v>
      </c>
      <c r="AQ22" s="102">
        <v>60</v>
      </c>
      <c r="AR22" s="102">
        <v>18</v>
      </c>
      <c r="AS22" s="206"/>
      <c r="AT22" s="206"/>
      <c r="AU22" s="206"/>
      <c r="AV22" s="206"/>
      <c r="AW22" s="206">
        <f t="shared" ref="AW22:BB37" si="10">SUM(($AQ22+AW$5)/2)-$AR22</f>
        <v>39.5</v>
      </c>
      <c r="AX22" s="206">
        <f t="shared" si="10"/>
        <v>37</v>
      </c>
      <c r="AY22" s="206">
        <f t="shared" si="10"/>
        <v>34.5</v>
      </c>
      <c r="AZ22" s="206">
        <f t="shared" si="10"/>
        <v>32</v>
      </c>
      <c r="BA22" s="206">
        <f t="shared" si="10"/>
        <v>29.5</v>
      </c>
      <c r="BB22" s="206">
        <f t="shared" si="10"/>
        <v>27</v>
      </c>
    </row>
    <row r="23" spans="1:54" s="102" customFormat="1" x14ac:dyDescent="0.2">
      <c r="A23" s="203">
        <v>60</v>
      </c>
      <c r="B23" s="207">
        <v>20</v>
      </c>
      <c r="C23" s="208"/>
      <c r="D23" s="208"/>
      <c r="E23" s="208"/>
      <c r="F23" s="208"/>
      <c r="G23" s="208">
        <f t="shared" si="8"/>
        <v>0.64450000000000007</v>
      </c>
      <c r="H23" s="208">
        <f t="shared" si="8"/>
        <v>0.57799999999999996</v>
      </c>
      <c r="I23" s="208">
        <f t="shared" si="8"/>
        <v>0.51150000000000007</v>
      </c>
      <c r="J23" s="208">
        <f t="shared" si="8"/>
        <v>0.44500000000000001</v>
      </c>
      <c r="K23" s="208">
        <f t="shared" si="8"/>
        <v>0.38950000000000001</v>
      </c>
      <c r="L23" s="208">
        <f t="shared" si="8"/>
        <v>0.33400000000000002</v>
      </c>
      <c r="O23" s="102">
        <v>60</v>
      </c>
      <c r="P23" s="102">
        <v>20</v>
      </c>
      <c r="U23" s="102">
        <v>0.68</v>
      </c>
      <c r="V23" s="102">
        <v>0.62</v>
      </c>
      <c r="W23" s="102">
        <v>0.54</v>
      </c>
      <c r="X23" s="102">
        <v>0.47</v>
      </c>
      <c r="Y23" s="102">
        <v>0.4</v>
      </c>
      <c r="Z23" s="102">
        <v>0.32</v>
      </c>
      <c r="AC23" s="209">
        <v>60</v>
      </c>
      <c r="AD23" s="209">
        <v>20</v>
      </c>
      <c r="AE23" s="210"/>
      <c r="AF23" s="210"/>
      <c r="AG23" s="210"/>
      <c r="AH23" s="210"/>
      <c r="AI23" s="210">
        <f t="shared" si="9"/>
        <v>1.0550814584949573</v>
      </c>
      <c r="AJ23" s="210">
        <f t="shared" si="9"/>
        <v>1.0726643598615917</v>
      </c>
      <c r="AK23" s="210">
        <f t="shared" si="9"/>
        <v>1.0557184750733137</v>
      </c>
      <c r="AL23" s="210">
        <f t="shared" si="9"/>
        <v>1.0561797752808988</v>
      </c>
      <c r="AM23" s="210">
        <f t="shared" si="5"/>
        <v>1.0269576379974326</v>
      </c>
      <c r="AN23" s="210">
        <f t="shared" si="5"/>
        <v>0.95808383233532934</v>
      </c>
      <c r="AQ23" s="209">
        <v>60</v>
      </c>
      <c r="AR23" s="209">
        <v>20</v>
      </c>
      <c r="AS23" s="211"/>
      <c r="AT23" s="211"/>
      <c r="AU23" s="211"/>
      <c r="AV23" s="211"/>
      <c r="AW23" s="211">
        <f t="shared" si="10"/>
        <v>37.5</v>
      </c>
      <c r="AX23" s="211">
        <f t="shared" si="10"/>
        <v>35</v>
      </c>
      <c r="AY23" s="211">
        <f t="shared" si="10"/>
        <v>32.5</v>
      </c>
      <c r="AZ23" s="211">
        <f t="shared" si="10"/>
        <v>30</v>
      </c>
      <c r="BA23" s="211">
        <f t="shared" si="10"/>
        <v>27.5</v>
      </c>
      <c r="BB23" s="211">
        <f t="shared" si="10"/>
        <v>25</v>
      </c>
    </row>
    <row r="24" spans="1:54" s="102" customFormat="1" x14ac:dyDescent="0.2">
      <c r="A24" s="203"/>
      <c r="B24" s="204">
        <v>22</v>
      </c>
      <c r="C24" s="205"/>
      <c r="D24" s="205"/>
      <c r="E24" s="205"/>
      <c r="F24" s="205"/>
      <c r="G24" s="205">
        <f t="shared" si="8"/>
        <v>0.59149999999999991</v>
      </c>
      <c r="H24" s="205">
        <f t="shared" si="8"/>
        <v>0.52500000000000002</v>
      </c>
      <c r="I24" s="205">
        <f t="shared" si="8"/>
        <v>0.45850000000000002</v>
      </c>
      <c r="J24" s="205">
        <f t="shared" si="8"/>
        <v>0.40100000000000002</v>
      </c>
      <c r="K24" s="205">
        <f t="shared" si="8"/>
        <v>0.34499999999999997</v>
      </c>
      <c r="L24" s="205">
        <f t="shared" si="8"/>
        <v>0.29599999999999999</v>
      </c>
      <c r="P24" s="102">
        <v>22</v>
      </c>
      <c r="U24" s="102">
        <v>0.63</v>
      </c>
      <c r="V24" s="102">
        <v>0.56999999999999995</v>
      </c>
      <c r="W24" s="102">
        <v>0.5</v>
      </c>
      <c r="X24" s="102">
        <v>0.43</v>
      </c>
      <c r="Y24" s="102">
        <v>0.35</v>
      </c>
      <c r="Z24" s="102">
        <v>0.27</v>
      </c>
      <c r="AD24" s="102">
        <v>22</v>
      </c>
      <c r="AE24" s="205"/>
      <c r="AF24" s="205"/>
      <c r="AG24" s="205"/>
      <c r="AH24" s="205"/>
      <c r="AI24" s="205">
        <f t="shared" si="9"/>
        <v>1.0650887573964498</v>
      </c>
      <c r="AJ24" s="205">
        <f t="shared" si="9"/>
        <v>1.0857142857142856</v>
      </c>
      <c r="AK24" s="205">
        <f t="shared" si="9"/>
        <v>1.0905125408942202</v>
      </c>
      <c r="AL24" s="205">
        <f t="shared" si="9"/>
        <v>1.0723192019950123</v>
      </c>
      <c r="AM24" s="205">
        <f t="shared" si="5"/>
        <v>1.0144927536231885</v>
      </c>
      <c r="AN24" s="205">
        <f t="shared" si="5"/>
        <v>0.91216216216216228</v>
      </c>
      <c r="AQ24" s="102">
        <v>60</v>
      </c>
      <c r="AR24" s="102">
        <v>22</v>
      </c>
      <c r="AS24" s="206"/>
      <c r="AT24" s="206"/>
      <c r="AU24" s="206"/>
      <c r="AV24" s="206"/>
      <c r="AW24" s="206">
        <f t="shared" si="10"/>
        <v>35.5</v>
      </c>
      <c r="AX24" s="206">
        <f t="shared" si="10"/>
        <v>33</v>
      </c>
      <c r="AY24" s="206">
        <f t="shared" si="10"/>
        <v>30.5</v>
      </c>
      <c r="AZ24" s="206">
        <f t="shared" si="10"/>
        <v>28</v>
      </c>
      <c r="BA24" s="206">
        <f t="shared" si="10"/>
        <v>25.5</v>
      </c>
      <c r="BB24" s="206">
        <f t="shared" si="10"/>
        <v>23</v>
      </c>
    </row>
    <row r="25" spans="1:54" s="102" customFormat="1" x14ac:dyDescent="0.2">
      <c r="A25" s="212"/>
      <c r="B25" s="225">
        <v>24</v>
      </c>
      <c r="C25" s="226"/>
      <c r="D25" s="226"/>
      <c r="E25" s="226"/>
      <c r="F25" s="226"/>
      <c r="G25" s="226">
        <f t="shared" si="8"/>
        <v>0.53800000000000003</v>
      </c>
      <c r="H25" s="226">
        <f t="shared" si="8"/>
        <v>0.47199999999999998</v>
      </c>
      <c r="I25" s="226">
        <f t="shared" si="8"/>
        <v>0.41200000000000003</v>
      </c>
      <c r="J25" s="226">
        <f t="shared" si="8"/>
        <v>0.35599999999999998</v>
      </c>
      <c r="K25" s="226">
        <f t="shared" si="8"/>
        <v>0.30549999999999999</v>
      </c>
      <c r="L25" s="226">
        <f t="shared" si="8"/>
        <v>0.25800000000000001</v>
      </c>
      <c r="P25" s="102">
        <v>24</v>
      </c>
      <c r="U25" s="102">
        <v>0.57999999999999996</v>
      </c>
      <c r="V25" s="102">
        <v>0.52</v>
      </c>
      <c r="W25" s="102">
        <v>0.45</v>
      </c>
      <c r="X25" s="102">
        <v>0.38</v>
      </c>
      <c r="Y25" s="102">
        <v>0.31</v>
      </c>
      <c r="Z25" s="102">
        <v>0.23</v>
      </c>
      <c r="AC25" s="110"/>
      <c r="AD25" s="110">
        <v>24</v>
      </c>
      <c r="AE25" s="216"/>
      <c r="AF25" s="216"/>
      <c r="AG25" s="216"/>
      <c r="AH25" s="216"/>
      <c r="AI25" s="216">
        <f t="shared" si="9"/>
        <v>1.0780669144981412</v>
      </c>
      <c r="AJ25" s="216">
        <f t="shared" si="9"/>
        <v>1.1016949152542375</v>
      </c>
      <c r="AK25" s="216">
        <f t="shared" si="9"/>
        <v>1.0922330097087378</v>
      </c>
      <c r="AL25" s="216">
        <f t="shared" si="9"/>
        <v>1.0674157303370788</v>
      </c>
      <c r="AM25" s="216">
        <f t="shared" si="5"/>
        <v>1.0147299509001637</v>
      </c>
      <c r="AN25" s="216">
        <f t="shared" si="5"/>
        <v>0.89147286821705429</v>
      </c>
      <c r="AQ25" s="110">
        <v>60</v>
      </c>
      <c r="AR25" s="110">
        <v>24</v>
      </c>
      <c r="AS25" s="218"/>
      <c r="AT25" s="218"/>
      <c r="AU25" s="218"/>
      <c r="AV25" s="218"/>
      <c r="AW25" s="218">
        <f t="shared" si="10"/>
        <v>33.5</v>
      </c>
      <c r="AX25" s="218">
        <f t="shared" si="10"/>
        <v>31</v>
      </c>
      <c r="AY25" s="218">
        <f t="shared" si="10"/>
        <v>28.5</v>
      </c>
      <c r="AZ25" s="218">
        <f t="shared" si="10"/>
        <v>26</v>
      </c>
      <c r="BA25" s="218">
        <f t="shared" si="10"/>
        <v>23.5</v>
      </c>
      <c r="BB25" s="218">
        <f t="shared" si="10"/>
        <v>21</v>
      </c>
    </row>
    <row r="26" spans="1:54" s="102" customFormat="1" x14ac:dyDescent="0.2">
      <c r="A26" s="203"/>
      <c r="B26" s="204">
        <v>18</v>
      </c>
      <c r="C26" s="205"/>
      <c r="D26" s="205"/>
      <c r="E26" s="205"/>
      <c r="F26" s="205"/>
      <c r="G26" s="205"/>
      <c r="H26" s="205">
        <f t="shared" ref="H26:L29" si="11">VLOOKUP(($A$27+H$5)/2-$B26,FAKT_C109,2,-1)</f>
        <v>0.5645</v>
      </c>
      <c r="I26" s="205">
        <f t="shared" si="11"/>
        <v>0.498</v>
      </c>
      <c r="J26" s="205">
        <f t="shared" si="11"/>
        <v>0.434</v>
      </c>
      <c r="K26" s="205">
        <f t="shared" si="11"/>
        <v>0.378</v>
      </c>
      <c r="L26" s="205">
        <f t="shared" si="11"/>
        <v>0.32450000000000001</v>
      </c>
      <c r="P26" s="102">
        <v>18</v>
      </c>
      <c r="V26" s="102">
        <v>0.6</v>
      </c>
      <c r="W26" s="102">
        <v>0.55000000000000004</v>
      </c>
      <c r="X26" s="102">
        <v>0.47</v>
      </c>
      <c r="Y26" s="102">
        <v>0.4</v>
      </c>
      <c r="Z26" s="102">
        <v>0.33</v>
      </c>
      <c r="AD26" s="102">
        <v>18</v>
      </c>
      <c r="AE26" s="205"/>
      <c r="AF26" s="205"/>
      <c r="AG26" s="205"/>
      <c r="AH26" s="205"/>
      <c r="AI26" s="205"/>
      <c r="AJ26" s="205">
        <f t="shared" si="9"/>
        <v>1.0628875110717448</v>
      </c>
      <c r="AK26" s="205">
        <f t="shared" si="9"/>
        <v>1.1044176706827311</v>
      </c>
      <c r="AL26" s="205">
        <f t="shared" si="9"/>
        <v>1.0829493087557602</v>
      </c>
      <c r="AM26" s="205">
        <f t="shared" si="5"/>
        <v>1.0582010582010581</v>
      </c>
      <c r="AN26" s="205">
        <f t="shared" si="5"/>
        <v>1.0169491525423728</v>
      </c>
      <c r="AQ26" s="102">
        <v>55</v>
      </c>
      <c r="AR26" s="102">
        <v>18</v>
      </c>
      <c r="AS26" s="206"/>
      <c r="AT26" s="206"/>
      <c r="AU26" s="206"/>
      <c r="AV26" s="206"/>
      <c r="AW26" s="206"/>
      <c r="AX26" s="206">
        <f t="shared" si="10"/>
        <v>34.5</v>
      </c>
      <c r="AY26" s="206">
        <f t="shared" si="10"/>
        <v>32</v>
      </c>
      <c r="AZ26" s="206">
        <f t="shared" si="10"/>
        <v>29.5</v>
      </c>
      <c r="BA26" s="206">
        <f t="shared" si="10"/>
        <v>27</v>
      </c>
      <c r="BB26" s="206">
        <f t="shared" si="10"/>
        <v>24.5</v>
      </c>
    </row>
    <row r="27" spans="1:54" s="102" customFormat="1" x14ac:dyDescent="0.2">
      <c r="A27" s="203">
        <v>55</v>
      </c>
      <c r="B27" s="207">
        <v>20</v>
      </c>
      <c r="C27" s="208"/>
      <c r="D27" s="208"/>
      <c r="E27" s="208"/>
      <c r="F27" s="208"/>
      <c r="G27" s="208"/>
      <c r="H27" s="208">
        <f t="shared" si="11"/>
        <v>0.51150000000000007</v>
      </c>
      <c r="I27" s="208">
        <f t="shared" si="11"/>
        <v>0.44500000000000001</v>
      </c>
      <c r="J27" s="208">
        <f t="shared" si="11"/>
        <v>0.38950000000000001</v>
      </c>
      <c r="K27" s="208">
        <f t="shared" si="11"/>
        <v>0.33400000000000002</v>
      </c>
      <c r="L27" s="208">
        <f t="shared" si="11"/>
        <v>0.28649999999999998</v>
      </c>
      <c r="O27" s="102">
        <v>55</v>
      </c>
      <c r="P27" s="102">
        <v>20</v>
      </c>
      <c r="V27" s="102">
        <v>0.56000000000000005</v>
      </c>
      <c r="W27" s="102">
        <v>0.5</v>
      </c>
      <c r="X27" s="102">
        <v>0.43</v>
      </c>
      <c r="Y27" s="102">
        <v>0.36</v>
      </c>
      <c r="Z27" s="102">
        <v>0.28999999999999998</v>
      </c>
      <c r="AC27" s="209">
        <v>55</v>
      </c>
      <c r="AD27" s="209">
        <v>20</v>
      </c>
      <c r="AE27" s="210"/>
      <c r="AF27" s="210"/>
      <c r="AG27" s="210"/>
      <c r="AH27" s="210"/>
      <c r="AI27" s="210"/>
      <c r="AJ27" s="210">
        <f t="shared" si="9"/>
        <v>1.0948191593352883</v>
      </c>
      <c r="AK27" s="210">
        <f t="shared" si="9"/>
        <v>1.1235955056179776</v>
      </c>
      <c r="AL27" s="210">
        <f t="shared" si="9"/>
        <v>1.10397946084724</v>
      </c>
      <c r="AM27" s="210">
        <f t="shared" si="5"/>
        <v>1.0778443113772453</v>
      </c>
      <c r="AN27" s="220">
        <f t="shared" si="5"/>
        <v>1.0122164048865621</v>
      </c>
      <c r="AQ27" s="209">
        <v>55</v>
      </c>
      <c r="AR27" s="209">
        <v>20</v>
      </c>
      <c r="AS27" s="211"/>
      <c r="AT27" s="211"/>
      <c r="AU27" s="211"/>
      <c r="AV27" s="211"/>
      <c r="AW27" s="211"/>
      <c r="AX27" s="211">
        <f t="shared" si="10"/>
        <v>32.5</v>
      </c>
      <c r="AY27" s="211">
        <f t="shared" si="10"/>
        <v>30</v>
      </c>
      <c r="AZ27" s="211">
        <f t="shared" si="10"/>
        <v>27.5</v>
      </c>
      <c r="BA27" s="211">
        <f t="shared" si="10"/>
        <v>25</v>
      </c>
      <c r="BB27" s="211">
        <f t="shared" si="10"/>
        <v>22.5</v>
      </c>
    </row>
    <row r="28" spans="1:54" s="102" customFormat="1" x14ac:dyDescent="0.2">
      <c r="A28" s="203"/>
      <c r="B28" s="204">
        <v>22</v>
      </c>
      <c r="C28" s="205"/>
      <c r="D28" s="205"/>
      <c r="E28" s="205"/>
      <c r="F28" s="205"/>
      <c r="G28" s="205"/>
      <c r="H28" s="205">
        <f t="shared" si="11"/>
        <v>0.45850000000000002</v>
      </c>
      <c r="I28" s="205">
        <f t="shared" si="11"/>
        <v>0.40100000000000002</v>
      </c>
      <c r="J28" s="205">
        <f t="shared" si="11"/>
        <v>0.34499999999999997</v>
      </c>
      <c r="K28" s="205">
        <f t="shared" si="11"/>
        <v>0.29599999999999999</v>
      </c>
      <c r="L28" s="205">
        <f t="shared" si="11"/>
        <v>0.2485</v>
      </c>
      <c r="P28" s="102">
        <v>22</v>
      </c>
      <c r="V28" s="102">
        <v>0.51</v>
      </c>
      <c r="W28" s="102">
        <v>0.45</v>
      </c>
      <c r="X28" s="102">
        <v>0.38</v>
      </c>
      <c r="Y28" s="102">
        <v>0.32</v>
      </c>
      <c r="Z28" s="102">
        <v>0.24</v>
      </c>
      <c r="AD28" s="102">
        <v>22</v>
      </c>
      <c r="AE28" s="205"/>
      <c r="AF28" s="205"/>
      <c r="AG28" s="205"/>
      <c r="AH28" s="205"/>
      <c r="AI28" s="205"/>
      <c r="AJ28" s="205">
        <f t="shared" si="9"/>
        <v>1.1123227917121046</v>
      </c>
      <c r="AK28" s="205">
        <f t="shared" si="9"/>
        <v>1.1221945137157108</v>
      </c>
      <c r="AL28" s="205">
        <f t="shared" si="9"/>
        <v>1.1014492753623188</v>
      </c>
      <c r="AM28" s="205">
        <f t="shared" si="5"/>
        <v>1.0810810810810811</v>
      </c>
      <c r="AN28" s="219">
        <f t="shared" si="5"/>
        <v>0.96579476861167002</v>
      </c>
      <c r="AQ28" s="102">
        <v>55</v>
      </c>
      <c r="AR28" s="102">
        <v>22</v>
      </c>
      <c r="AS28" s="206"/>
      <c r="AT28" s="206"/>
      <c r="AU28" s="206"/>
      <c r="AV28" s="206"/>
      <c r="AW28" s="206"/>
      <c r="AX28" s="206">
        <f t="shared" si="10"/>
        <v>30.5</v>
      </c>
      <c r="AY28" s="206">
        <f t="shared" si="10"/>
        <v>28</v>
      </c>
      <c r="AZ28" s="206">
        <f t="shared" si="10"/>
        <v>25.5</v>
      </c>
      <c r="BA28" s="206">
        <f t="shared" si="10"/>
        <v>23</v>
      </c>
      <c r="BB28" s="206">
        <f t="shared" si="10"/>
        <v>20.5</v>
      </c>
    </row>
    <row r="29" spans="1:54" s="102" customFormat="1" x14ac:dyDescent="0.2">
      <c r="A29" s="212"/>
      <c r="B29" s="225">
        <v>24</v>
      </c>
      <c r="C29" s="226"/>
      <c r="D29" s="226"/>
      <c r="E29" s="226"/>
      <c r="F29" s="226"/>
      <c r="G29" s="226"/>
      <c r="H29" s="226">
        <f t="shared" si="11"/>
        <v>0.41200000000000003</v>
      </c>
      <c r="I29" s="226">
        <f t="shared" si="11"/>
        <v>0.35599999999999998</v>
      </c>
      <c r="J29" s="226">
        <f t="shared" si="11"/>
        <v>0.30549999999999999</v>
      </c>
      <c r="K29" s="226">
        <f t="shared" si="11"/>
        <v>0.25800000000000001</v>
      </c>
      <c r="L29" s="226">
        <f t="shared" si="11"/>
        <v>0.21200000000000002</v>
      </c>
      <c r="P29" s="102">
        <v>24</v>
      </c>
      <c r="V29" s="102">
        <v>0.47</v>
      </c>
      <c r="W29" s="102">
        <v>0.4</v>
      </c>
      <c r="X29" s="102">
        <v>0.34</v>
      </c>
      <c r="Y29" s="102">
        <v>0.27</v>
      </c>
      <c r="Z29" s="102">
        <v>0.2</v>
      </c>
      <c r="AC29" s="110"/>
      <c r="AD29" s="110">
        <v>24</v>
      </c>
      <c r="AE29" s="216"/>
      <c r="AF29" s="216"/>
      <c r="AG29" s="216"/>
      <c r="AH29" s="216"/>
      <c r="AI29" s="216"/>
      <c r="AJ29" s="216">
        <f t="shared" si="9"/>
        <v>1.1407766990291262</v>
      </c>
      <c r="AK29" s="216">
        <f t="shared" si="9"/>
        <v>1.1235955056179776</v>
      </c>
      <c r="AL29" s="216">
        <f t="shared" si="9"/>
        <v>1.1129296235679216</v>
      </c>
      <c r="AM29" s="216">
        <f t="shared" si="5"/>
        <v>1.0465116279069768</v>
      </c>
      <c r="AN29" s="216">
        <f t="shared" si="5"/>
        <v>0.94339622641509424</v>
      </c>
      <c r="AQ29" s="110">
        <v>55</v>
      </c>
      <c r="AR29" s="110">
        <v>24</v>
      </c>
      <c r="AS29" s="218"/>
      <c r="AT29" s="218"/>
      <c r="AU29" s="218"/>
      <c r="AV29" s="218"/>
      <c r="AW29" s="218"/>
      <c r="AX29" s="218">
        <f t="shared" si="10"/>
        <v>28.5</v>
      </c>
      <c r="AY29" s="218">
        <f t="shared" si="10"/>
        <v>26</v>
      </c>
      <c r="AZ29" s="218">
        <f t="shared" si="10"/>
        <v>23.5</v>
      </c>
      <c r="BA29" s="218">
        <f t="shared" si="10"/>
        <v>21</v>
      </c>
      <c r="BB29" s="218">
        <f t="shared" si="10"/>
        <v>18.5</v>
      </c>
    </row>
    <row r="30" spans="1:54" s="102" customFormat="1" x14ac:dyDescent="0.2">
      <c r="A30" s="203"/>
      <c r="B30" s="204">
        <v>18</v>
      </c>
      <c r="C30" s="205"/>
      <c r="D30" s="205"/>
      <c r="E30" s="205"/>
      <c r="F30" s="205"/>
      <c r="G30" s="205"/>
      <c r="H30" s="205"/>
      <c r="I30" s="205">
        <f t="shared" ref="I30:L33" si="12">VLOOKUP(($A$31+I$5)/2-$B30,FAKT_C109,2,-1)</f>
        <v>0.434</v>
      </c>
      <c r="J30" s="205">
        <f t="shared" si="12"/>
        <v>0.378</v>
      </c>
      <c r="K30" s="205">
        <f t="shared" si="12"/>
        <v>0.32450000000000001</v>
      </c>
      <c r="L30" s="205">
        <f t="shared" si="12"/>
        <v>0.27700000000000002</v>
      </c>
      <c r="P30" s="102">
        <v>18</v>
      </c>
      <c r="W30" s="102">
        <v>0.49</v>
      </c>
      <c r="X30" s="102">
        <v>0.43</v>
      </c>
      <c r="Y30" s="102">
        <v>0.36</v>
      </c>
      <c r="Z30" s="102">
        <v>0.3</v>
      </c>
      <c r="AD30" s="102">
        <v>18</v>
      </c>
      <c r="AE30" s="205"/>
      <c r="AF30" s="205"/>
      <c r="AG30" s="205"/>
      <c r="AH30" s="205"/>
      <c r="AI30" s="205"/>
      <c r="AJ30" s="205"/>
      <c r="AK30" s="205">
        <f t="shared" si="9"/>
        <v>1.129032258064516</v>
      </c>
      <c r="AL30" s="205">
        <f t="shared" si="9"/>
        <v>1.1375661375661374</v>
      </c>
      <c r="AM30" s="205">
        <f t="shared" si="5"/>
        <v>1.1093990755007703</v>
      </c>
      <c r="AN30" s="205">
        <f t="shared" si="5"/>
        <v>1.0830324909747291</v>
      </c>
      <c r="AQ30" s="102">
        <v>50</v>
      </c>
      <c r="AR30" s="102">
        <v>18</v>
      </c>
      <c r="AS30" s="206"/>
      <c r="AT30" s="206"/>
      <c r="AU30" s="206"/>
      <c r="AV30" s="206"/>
      <c r="AW30" s="206"/>
      <c r="AX30" s="206"/>
      <c r="AY30" s="206">
        <f t="shared" si="10"/>
        <v>29.5</v>
      </c>
      <c r="AZ30" s="206">
        <f t="shared" si="10"/>
        <v>27</v>
      </c>
      <c r="BA30" s="206">
        <f t="shared" si="10"/>
        <v>24.5</v>
      </c>
      <c r="BB30" s="206">
        <f t="shared" si="10"/>
        <v>22</v>
      </c>
    </row>
    <row r="31" spans="1:54" s="102" customFormat="1" x14ac:dyDescent="0.2">
      <c r="A31" s="203">
        <v>50</v>
      </c>
      <c r="B31" s="207">
        <v>20</v>
      </c>
      <c r="C31" s="208"/>
      <c r="D31" s="208"/>
      <c r="E31" s="208"/>
      <c r="F31" s="208"/>
      <c r="G31" s="208"/>
      <c r="H31" s="208"/>
      <c r="I31" s="208">
        <f t="shared" si="12"/>
        <v>0.38950000000000001</v>
      </c>
      <c r="J31" s="208">
        <f t="shared" si="12"/>
        <v>0.33400000000000002</v>
      </c>
      <c r="K31" s="208">
        <f t="shared" si="12"/>
        <v>0.28649999999999998</v>
      </c>
      <c r="L31" s="208">
        <f t="shared" si="12"/>
        <v>0.23899999999999999</v>
      </c>
      <c r="O31" s="102">
        <v>50</v>
      </c>
      <c r="P31" s="102">
        <v>20</v>
      </c>
      <c r="W31" s="102">
        <v>0.44</v>
      </c>
      <c r="X31" s="102">
        <v>0.38</v>
      </c>
      <c r="Y31" s="102">
        <v>0.32</v>
      </c>
      <c r="Z31" s="102">
        <v>0.25</v>
      </c>
      <c r="AC31" s="209">
        <v>50</v>
      </c>
      <c r="AD31" s="209">
        <v>20</v>
      </c>
      <c r="AE31" s="210"/>
      <c r="AF31" s="210"/>
      <c r="AG31" s="210"/>
      <c r="AH31" s="210"/>
      <c r="AI31" s="210"/>
      <c r="AJ31" s="210"/>
      <c r="AK31" s="210">
        <f t="shared" si="9"/>
        <v>1.1296534017971758</v>
      </c>
      <c r="AL31" s="210">
        <f t="shared" si="9"/>
        <v>1.1377245508982035</v>
      </c>
      <c r="AM31" s="210">
        <f t="shared" si="5"/>
        <v>1.1169284467713789</v>
      </c>
      <c r="AN31" s="210">
        <f t="shared" si="5"/>
        <v>1.0460251046025104</v>
      </c>
      <c r="AQ31" s="209">
        <v>50</v>
      </c>
      <c r="AR31" s="209">
        <v>20</v>
      </c>
      <c r="AS31" s="211"/>
      <c r="AT31" s="211"/>
      <c r="AU31" s="211"/>
      <c r="AV31" s="211"/>
      <c r="AW31" s="211"/>
      <c r="AX31" s="211"/>
      <c r="AY31" s="211">
        <f t="shared" si="10"/>
        <v>27.5</v>
      </c>
      <c r="AZ31" s="211">
        <f t="shared" si="10"/>
        <v>25</v>
      </c>
      <c r="BA31" s="211">
        <f t="shared" si="10"/>
        <v>22.5</v>
      </c>
      <c r="BB31" s="211">
        <f t="shared" si="10"/>
        <v>20</v>
      </c>
    </row>
    <row r="32" spans="1:54" s="102" customFormat="1" x14ac:dyDescent="0.2">
      <c r="A32" s="203"/>
      <c r="B32" s="204">
        <v>22</v>
      </c>
      <c r="C32" s="205"/>
      <c r="D32" s="205"/>
      <c r="E32" s="205"/>
      <c r="F32" s="205"/>
      <c r="G32" s="205"/>
      <c r="H32" s="205"/>
      <c r="I32" s="205">
        <f t="shared" si="12"/>
        <v>0.34499999999999997</v>
      </c>
      <c r="J32" s="205">
        <f t="shared" si="12"/>
        <v>0.29599999999999999</v>
      </c>
      <c r="K32" s="205">
        <f t="shared" si="12"/>
        <v>0.2485</v>
      </c>
      <c r="L32" s="205">
        <f t="shared" si="12"/>
        <v>0.20300000000000001</v>
      </c>
      <c r="P32" s="102">
        <v>22</v>
      </c>
      <c r="W32" s="102">
        <v>0.4</v>
      </c>
      <c r="X32" s="102">
        <v>0.34</v>
      </c>
      <c r="Y32" s="102">
        <v>0.28000000000000003</v>
      </c>
      <c r="Z32" s="102">
        <v>0.21</v>
      </c>
      <c r="AD32" s="102">
        <v>22</v>
      </c>
      <c r="AE32" s="205"/>
      <c r="AF32" s="205"/>
      <c r="AG32" s="205"/>
      <c r="AH32" s="205"/>
      <c r="AI32" s="205"/>
      <c r="AJ32" s="205"/>
      <c r="AK32" s="205">
        <f t="shared" si="9"/>
        <v>1.1594202898550727</v>
      </c>
      <c r="AL32" s="205">
        <f t="shared" si="9"/>
        <v>1.1486486486486487</v>
      </c>
      <c r="AM32" s="205">
        <f t="shared" si="5"/>
        <v>1.1267605633802817</v>
      </c>
      <c r="AN32" s="205">
        <f t="shared" si="5"/>
        <v>1.0344827586206895</v>
      </c>
      <c r="AQ32" s="102">
        <v>50</v>
      </c>
      <c r="AR32" s="102">
        <v>22</v>
      </c>
      <c r="AS32" s="206"/>
      <c r="AT32" s="206"/>
      <c r="AU32" s="206"/>
      <c r="AV32" s="206"/>
      <c r="AW32" s="206"/>
      <c r="AX32" s="206"/>
      <c r="AY32" s="206">
        <f t="shared" si="10"/>
        <v>25.5</v>
      </c>
      <c r="AZ32" s="206">
        <f t="shared" si="10"/>
        <v>23</v>
      </c>
      <c r="BA32" s="206">
        <f t="shared" si="10"/>
        <v>20.5</v>
      </c>
      <c r="BB32" s="206">
        <f t="shared" si="10"/>
        <v>18</v>
      </c>
    </row>
    <row r="33" spans="1:54" s="102" customFormat="1" x14ac:dyDescent="0.2">
      <c r="A33" s="212"/>
      <c r="B33" s="225">
        <v>24</v>
      </c>
      <c r="C33" s="226"/>
      <c r="D33" s="226"/>
      <c r="E33" s="226"/>
      <c r="F33" s="226"/>
      <c r="G33" s="226"/>
      <c r="H33" s="226"/>
      <c r="I33" s="226">
        <f t="shared" si="12"/>
        <v>0.30549999999999999</v>
      </c>
      <c r="J33" s="226">
        <f t="shared" si="12"/>
        <v>0.25800000000000001</v>
      </c>
      <c r="K33" s="226">
        <f t="shared" si="12"/>
        <v>0.21200000000000002</v>
      </c>
      <c r="L33" s="226">
        <f t="shared" si="12"/>
        <v>0.16700000000000001</v>
      </c>
      <c r="P33" s="102">
        <v>24</v>
      </c>
      <c r="W33" s="102">
        <v>0.36</v>
      </c>
      <c r="X33" s="102">
        <v>0.3</v>
      </c>
      <c r="Y33" s="102">
        <v>0.24</v>
      </c>
      <c r="Z33" s="102">
        <v>0.17</v>
      </c>
      <c r="AC33" s="110"/>
      <c r="AD33" s="110">
        <v>24</v>
      </c>
      <c r="AE33" s="216"/>
      <c r="AF33" s="216"/>
      <c r="AG33" s="216"/>
      <c r="AH33" s="216"/>
      <c r="AI33" s="216"/>
      <c r="AJ33" s="216"/>
      <c r="AK33" s="216">
        <f t="shared" si="9"/>
        <v>1.1783960720130933</v>
      </c>
      <c r="AL33" s="216">
        <f t="shared" si="9"/>
        <v>1.1627906976744184</v>
      </c>
      <c r="AM33" s="216">
        <f t="shared" si="5"/>
        <v>1.132075471698113</v>
      </c>
      <c r="AN33" s="216">
        <f t="shared" si="5"/>
        <v>1.0179640718562875</v>
      </c>
      <c r="AQ33" s="110">
        <v>50</v>
      </c>
      <c r="AR33" s="110">
        <v>24</v>
      </c>
      <c r="AS33" s="218"/>
      <c r="AT33" s="218"/>
      <c r="AU33" s="218"/>
      <c r="AV33" s="218"/>
      <c r="AW33" s="218"/>
      <c r="AX33" s="218"/>
      <c r="AY33" s="218">
        <f t="shared" si="10"/>
        <v>23.5</v>
      </c>
      <c r="AZ33" s="218">
        <f t="shared" si="10"/>
        <v>21</v>
      </c>
      <c r="BA33" s="218">
        <f t="shared" si="10"/>
        <v>18.5</v>
      </c>
      <c r="BB33" s="218">
        <f t="shared" si="10"/>
        <v>16</v>
      </c>
    </row>
    <row r="34" spans="1:54" s="102" customFormat="1" x14ac:dyDescent="0.2">
      <c r="A34" s="203"/>
      <c r="B34" s="204">
        <v>18</v>
      </c>
      <c r="C34" s="205"/>
      <c r="D34" s="205"/>
      <c r="E34" s="205"/>
      <c r="F34" s="205"/>
      <c r="G34" s="205"/>
      <c r="H34" s="205"/>
      <c r="I34" s="205"/>
      <c r="J34" s="205">
        <f t="shared" ref="J34:L37" si="13">VLOOKUP(($A$35+J$5)/2-$B34,FAKT_C109,2,-1)</f>
        <v>0.32450000000000001</v>
      </c>
      <c r="K34" s="205">
        <f t="shared" si="13"/>
        <v>0.27700000000000002</v>
      </c>
      <c r="L34" s="205">
        <f t="shared" si="13"/>
        <v>0.23</v>
      </c>
      <c r="P34" s="102">
        <v>18</v>
      </c>
      <c r="X34" s="102">
        <v>0.38</v>
      </c>
      <c r="Y34" s="102">
        <v>0.32</v>
      </c>
      <c r="Z34" s="102">
        <v>0.26</v>
      </c>
      <c r="AD34" s="102">
        <v>18</v>
      </c>
      <c r="AE34" s="205"/>
      <c r="AF34" s="205"/>
      <c r="AG34" s="205"/>
      <c r="AH34" s="205"/>
      <c r="AI34" s="205"/>
      <c r="AJ34" s="205"/>
      <c r="AK34" s="205"/>
      <c r="AL34" s="205">
        <f t="shared" si="9"/>
        <v>1.1710323574730355</v>
      </c>
      <c r="AM34" s="205">
        <f t="shared" si="5"/>
        <v>1.1552346570397112</v>
      </c>
      <c r="AN34" s="205">
        <f t="shared" si="5"/>
        <v>1.1304347826086956</v>
      </c>
      <c r="AQ34" s="102">
        <v>45</v>
      </c>
      <c r="AR34" s="102">
        <v>18</v>
      </c>
      <c r="AS34" s="206"/>
      <c r="AT34" s="206"/>
      <c r="AU34" s="206"/>
      <c r="AV34" s="206"/>
      <c r="AW34" s="206"/>
      <c r="AX34" s="206"/>
      <c r="AY34" s="206"/>
      <c r="AZ34" s="206">
        <f t="shared" si="10"/>
        <v>24.5</v>
      </c>
      <c r="BA34" s="206">
        <f t="shared" si="10"/>
        <v>22</v>
      </c>
      <c r="BB34" s="206">
        <f t="shared" si="10"/>
        <v>19.5</v>
      </c>
    </row>
    <row r="35" spans="1:54" s="102" customFormat="1" x14ac:dyDescent="0.2">
      <c r="A35" s="203">
        <v>45</v>
      </c>
      <c r="B35" s="207">
        <v>20</v>
      </c>
      <c r="C35" s="208"/>
      <c r="D35" s="208"/>
      <c r="E35" s="208"/>
      <c r="F35" s="208"/>
      <c r="G35" s="208"/>
      <c r="H35" s="208"/>
      <c r="I35" s="208"/>
      <c r="J35" s="208">
        <f t="shared" si="13"/>
        <v>0.28649999999999998</v>
      </c>
      <c r="K35" s="208">
        <f t="shared" si="13"/>
        <v>0.23899999999999999</v>
      </c>
      <c r="L35" s="208">
        <f t="shared" si="13"/>
        <v>0.19400000000000001</v>
      </c>
      <c r="O35" s="102">
        <v>45</v>
      </c>
      <c r="P35" s="102">
        <v>20</v>
      </c>
      <c r="X35" s="102">
        <v>0.34</v>
      </c>
      <c r="Y35" s="102">
        <v>0.28000000000000003</v>
      </c>
      <c r="Z35" s="102">
        <v>0.22</v>
      </c>
      <c r="AC35" s="209">
        <v>45</v>
      </c>
      <c r="AD35" s="209">
        <v>20</v>
      </c>
      <c r="AE35" s="210"/>
      <c r="AF35" s="210"/>
      <c r="AG35" s="210"/>
      <c r="AH35" s="210"/>
      <c r="AI35" s="210"/>
      <c r="AJ35" s="210"/>
      <c r="AK35" s="210"/>
      <c r="AL35" s="210">
        <f t="shared" si="9"/>
        <v>1.1867364746945901</v>
      </c>
      <c r="AM35" s="210">
        <f t="shared" si="5"/>
        <v>1.1715481171548119</v>
      </c>
      <c r="AN35" s="210">
        <f t="shared" si="5"/>
        <v>1.134020618556701</v>
      </c>
      <c r="AQ35" s="209">
        <v>45</v>
      </c>
      <c r="AR35" s="209">
        <v>20</v>
      </c>
      <c r="AS35" s="211"/>
      <c r="AT35" s="211"/>
      <c r="AU35" s="211"/>
      <c r="AV35" s="211"/>
      <c r="AW35" s="211"/>
      <c r="AX35" s="211"/>
      <c r="AY35" s="211"/>
      <c r="AZ35" s="211">
        <f t="shared" si="10"/>
        <v>22.5</v>
      </c>
      <c r="BA35" s="211">
        <f t="shared" si="10"/>
        <v>20</v>
      </c>
      <c r="BB35" s="211">
        <f t="shared" si="10"/>
        <v>17.5</v>
      </c>
    </row>
    <row r="36" spans="1:54" s="102" customFormat="1" x14ac:dyDescent="0.2">
      <c r="A36" s="203"/>
      <c r="B36" s="204">
        <v>22</v>
      </c>
      <c r="C36" s="205"/>
      <c r="D36" s="205"/>
      <c r="E36" s="205"/>
      <c r="F36" s="205"/>
      <c r="G36" s="205"/>
      <c r="H36" s="205"/>
      <c r="I36" s="205"/>
      <c r="J36" s="205">
        <f t="shared" si="13"/>
        <v>0.2485</v>
      </c>
      <c r="K36" s="205">
        <f t="shared" si="13"/>
        <v>0.20300000000000001</v>
      </c>
      <c r="L36" s="205">
        <f t="shared" si="13"/>
        <v>0.158</v>
      </c>
      <c r="P36" s="102">
        <v>22</v>
      </c>
      <c r="X36" s="102">
        <v>0.3</v>
      </c>
      <c r="Y36" s="102">
        <v>0.24</v>
      </c>
      <c r="Z36" s="102">
        <v>1.7999999999999999E-2</v>
      </c>
      <c r="AD36" s="102">
        <v>22</v>
      </c>
      <c r="AE36" s="205"/>
      <c r="AF36" s="205"/>
      <c r="AG36" s="205"/>
      <c r="AH36" s="205"/>
      <c r="AI36" s="205"/>
      <c r="AJ36" s="205"/>
      <c r="AK36" s="205"/>
      <c r="AL36" s="205">
        <f t="shared" si="9"/>
        <v>1.2072434607645874</v>
      </c>
      <c r="AM36" s="205">
        <f t="shared" si="5"/>
        <v>1.1822660098522166</v>
      </c>
      <c r="AN36" s="205">
        <f t="shared" si="5"/>
        <v>0.11392405063291139</v>
      </c>
      <c r="AQ36" s="102">
        <v>45</v>
      </c>
      <c r="AR36" s="102">
        <v>22</v>
      </c>
      <c r="AS36" s="206"/>
      <c r="AT36" s="206"/>
      <c r="AU36" s="206"/>
      <c r="AV36" s="206"/>
      <c r="AW36" s="206"/>
      <c r="AX36" s="206"/>
      <c r="AY36" s="206"/>
      <c r="AZ36" s="206">
        <f t="shared" si="10"/>
        <v>20.5</v>
      </c>
      <c r="BA36" s="206">
        <f t="shared" si="10"/>
        <v>18</v>
      </c>
      <c r="BB36" s="206">
        <f t="shared" si="10"/>
        <v>15.5</v>
      </c>
    </row>
    <row r="37" spans="1:54" s="102" customFormat="1" x14ac:dyDescent="0.2">
      <c r="A37" s="212"/>
      <c r="B37" s="225">
        <v>24</v>
      </c>
      <c r="C37" s="226"/>
      <c r="D37" s="226"/>
      <c r="E37" s="226"/>
      <c r="F37" s="226"/>
      <c r="G37" s="226"/>
      <c r="H37" s="226"/>
      <c r="I37" s="226"/>
      <c r="J37" s="226">
        <f t="shared" si="13"/>
        <v>0.21200000000000002</v>
      </c>
      <c r="K37" s="226">
        <f t="shared" si="13"/>
        <v>0.16700000000000001</v>
      </c>
      <c r="L37" s="226">
        <f t="shared" si="13"/>
        <v>0.13800000000000001</v>
      </c>
      <c r="P37" s="102">
        <v>24</v>
      </c>
      <c r="X37" s="102">
        <v>0.26</v>
      </c>
      <c r="Y37" s="102">
        <v>0.2</v>
      </c>
      <c r="Z37" s="102">
        <v>0.14000000000000001</v>
      </c>
      <c r="AC37" s="110"/>
      <c r="AD37" s="110">
        <v>24</v>
      </c>
      <c r="AE37" s="216"/>
      <c r="AF37" s="216"/>
      <c r="AG37" s="216"/>
      <c r="AH37" s="216"/>
      <c r="AI37" s="216"/>
      <c r="AJ37" s="216"/>
      <c r="AK37" s="216"/>
      <c r="AL37" s="216">
        <f t="shared" si="9"/>
        <v>1.2264150943396226</v>
      </c>
      <c r="AM37" s="216">
        <f t="shared" si="5"/>
        <v>1.1976047904191616</v>
      </c>
      <c r="AN37" s="216">
        <f t="shared" si="5"/>
        <v>1.0144927536231885</v>
      </c>
      <c r="AQ37" s="110">
        <v>45</v>
      </c>
      <c r="AR37" s="110">
        <v>24</v>
      </c>
      <c r="AS37" s="218"/>
      <c r="AT37" s="218"/>
      <c r="AU37" s="218"/>
      <c r="AV37" s="218"/>
      <c r="AW37" s="218"/>
      <c r="AX37" s="218"/>
      <c r="AY37" s="218"/>
      <c r="AZ37" s="218">
        <f t="shared" si="10"/>
        <v>18.5</v>
      </c>
      <c r="BA37" s="218">
        <f t="shared" si="10"/>
        <v>16</v>
      </c>
      <c r="BB37" s="218">
        <f t="shared" si="10"/>
        <v>13.5</v>
      </c>
    </row>
    <row r="38" spans="1:54" s="102" customFormat="1" x14ac:dyDescent="0.2">
      <c r="A38" s="203"/>
      <c r="B38" s="204">
        <v>18</v>
      </c>
      <c r="C38" s="205"/>
      <c r="D38" s="205"/>
      <c r="E38" s="205"/>
      <c r="F38" s="205"/>
      <c r="G38" s="205"/>
      <c r="H38" s="205"/>
      <c r="I38" s="205"/>
      <c r="J38" s="205"/>
      <c r="K38" s="205">
        <f t="shared" ref="K38:L41" si="14">VLOOKUP(($A$39+K$5)/2-$B38,FAKT_C109,2,-1)</f>
        <v>0.23</v>
      </c>
      <c r="L38" s="205">
        <f t="shared" si="14"/>
        <v>0.185</v>
      </c>
      <c r="P38" s="102">
        <v>18</v>
      </c>
      <c r="Y38" s="102">
        <v>0.28000000000000003</v>
      </c>
      <c r="Z38" s="102">
        <v>0.22</v>
      </c>
      <c r="AD38" s="102">
        <v>18</v>
      </c>
      <c r="AE38" s="205"/>
      <c r="AF38" s="205"/>
      <c r="AG38" s="205"/>
      <c r="AH38" s="205"/>
      <c r="AI38" s="205"/>
      <c r="AJ38" s="205"/>
      <c r="AK38" s="205"/>
      <c r="AL38" s="205"/>
      <c r="AM38" s="205">
        <f t="shared" si="5"/>
        <v>1.2173913043478262</v>
      </c>
      <c r="AN38" s="205">
        <f t="shared" si="5"/>
        <v>1.1891891891891893</v>
      </c>
      <c r="AQ38" s="102">
        <v>40</v>
      </c>
      <c r="AR38" s="102">
        <v>18</v>
      </c>
      <c r="AS38" s="206"/>
      <c r="AT38" s="206"/>
      <c r="AU38" s="206"/>
      <c r="AV38" s="206"/>
      <c r="AW38" s="206"/>
      <c r="AX38" s="206"/>
      <c r="AY38" s="206"/>
      <c r="AZ38" s="206"/>
      <c r="BA38" s="206">
        <f t="shared" ref="BA38:BB41" si="15">SUM(($AQ38+BA$5)/2)-$AR38</f>
        <v>19.5</v>
      </c>
      <c r="BB38" s="206">
        <f t="shared" si="15"/>
        <v>17</v>
      </c>
    </row>
    <row r="39" spans="1:54" s="102" customFormat="1" x14ac:dyDescent="0.2">
      <c r="A39" s="203">
        <v>40</v>
      </c>
      <c r="B39" s="207">
        <v>20</v>
      </c>
      <c r="C39" s="208"/>
      <c r="D39" s="208"/>
      <c r="E39" s="208"/>
      <c r="F39" s="208"/>
      <c r="G39" s="208"/>
      <c r="H39" s="208"/>
      <c r="I39" s="208"/>
      <c r="J39" s="208"/>
      <c r="K39" s="208">
        <f t="shared" si="14"/>
        <v>0.19400000000000001</v>
      </c>
      <c r="L39" s="208">
        <f t="shared" si="14"/>
        <v>0.14899999999999999</v>
      </c>
      <c r="O39" s="102">
        <v>40</v>
      </c>
      <c r="P39" s="102">
        <v>20</v>
      </c>
      <c r="Y39" s="102">
        <v>0.24</v>
      </c>
      <c r="Z39" s="102">
        <v>0.18</v>
      </c>
      <c r="AC39" s="209">
        <v>40</v>
      </c>
      <c r="AD39" s="209">
        <v>20</v>
      </c>
      <c r="AE39" s="210"/>
      <c r="AF39" s="210"/>
      <c r="AG39" s="210"/>
      <c r="AH39" s="210"/>
      <c r="AI39" s="210"/>
      <c r="AJ39" s="210"/>
      <c r="AK39" s="210"/>
      <c r="AL39" s="210"/>
      <c r="AM39" s="210">
        <f t="shared" si="5"/>
        <v>1.2371134020618555</v>
      </c>
      <c r="AN39" s="210">
        <f t="shared" si="5"/>
        <v>1.2080536912751678</v>
      </c>
      <c r="AQ39" s="209">
        <v>40</v>
      </c>
      <c r="AR39" s="209">
        <v>20</v>
      </c>
      <c r="AS39" s="211"/>
      <c r="AT39" s="211"/>
      <c r="AU39" s="211"/>
      <c r="AV39" s="211"/>
      <c r="AW39" s="211"/>
      <c r="AX39" s="211"/>
      <c r="AY39" s="211"/>
      <c r="AZ39" s="211"/>
      <c r="BA39" s="211">
        <f t="shared" si="15"/>
        <v>17.5</v>
      </c>
      <c r="BB39" s="211">
        <f t="shared" si="15"/>
        <v>15</v>
      </c>
    </row>
    <row r="40" spans="1:54" s="102" customFormat="1" x14ac:dyDescent="0.2">
      <c r="A40" s="203"/>
      <c r="B40" s="204">
        <v>22</v>
      </c>
      <c r="C40" s="205"/>
      <c r="D40" s="205"/>
      <c r="E40" s="205"/>
      <c r="F40" s="205"/>
      <c r="G40" s="205"/>
      <c r="H40" s="205"/>
      <c r="I40" s="205"/>
      <c r="J40" s="205"/>
      <c r="K40" s="205">
        <f t="shared" si="14"/>
        <v>0.158</v>
      </c>
      <c r="L40" s="205">
        <f t="shared" si="14"/>
        <v>0.13400000000000001</v>
      </c>
      <c r="P40" s="102">
        <v>22</v>
      </c>
      <c r="Y40" s="102">
        <v>0.2</v>
      </c>
      <c r="Z40" s="102">
        <v>0.15</v>
      </c>
      <c r="AD40" s="102">
        <v>22</v>
      </c>
      <c r="AE40" s="205"/>
      <c r="AF40" s="205"/>
      <c r="AG40" s="205"/>
      <c r="AH40" s="205"/>
      <c r="AI40" s="205"/>
      <c r="AJ40" s="205"/>
      <c r="AK40" s="205"/>
      <c r="AL40" s="205"/>
      <c r="AM40" s="205">
        <f t="shared" si="5"/>
        <v>1.2658227848101267</v>
      </c>
      <c r="AN40" s="205">
        <f t="shared" si="5"/>
        <v>1.1194029850746268</v>
      </c>
      <c r="AQ40" s="102">
        <v>40</v>
      </c>
      <c r="AR40" s="102">
        <v>22</v>
      </c>
      <c r="AS40" s="206"/>
      <c r="AT40" s="206"/>
      <c r="AU40" s="206"/>
      <c r="AV40" s="206"/>
      <c r="AW40" s="206"/>
      <c r="AX40" s="206"/>
      <c r="AY40" s="206"/>
      <c r="AZ40" s="206"/>
      <c r="BA40" s="206">
        <f t="shared" si="15"/>
        <v>15.5</v>
      </c>
      <c r="BB40" s="206">
        <f t="shared" si="15"/>
        <v>13</v>
      </c>
    </row>
    <row r="41" spans="1:54" s="102" customFormat="1" x14ac:dyDescent="0.2">
      <c r="A41" s="212"/>
      <c r="B41" s="225">
        <v>24</v>
      </c>
      <c r="C41" s="226"/>
      <c r="D41" s="226"/>
      <c r="E41" s="226"/>
      <c r="F41" s="226"/>
      <c r="G41" s="226"/>
      <c r="H41" s="226"/>
      <c r="I41" s="226"/>
      <c r="J41" s="226"/>
      <c r="K41" s="226">
        <f t="shared" si="14"/>
        <v>0.13800000000000001</v>
      </c>
      <c r="L41" s="226">
        <f t="shared" si="14"/>
        <v>0.11899999999999999</v>
      </c>
      <c r="P41" s="102">
        <v>24</v>
      </c>
      <c r="Y41" s="102">
        <v>0.17</v>
      </c>
      <c r="Z41" s="102">
        <v>0.12</v>
      </c>
      <c r="AC41" s="110"/>
      <c r="AD41" s="110">
        <v>24</v>
      </c>
      <c r="AE41" s="216"/>
      <c r="AF41" s="216"/>
      <c r="AG41" s="216"/>
      <c r="AH41" s="216"/>
      <c r="AI41" s="216"/>
      <c r="AJ41" s="216"/>
      <c r="AK41" s="216"/>
      <c r="AL41" s="216"/>
      <c r="AM41" s="216">
        <f t="shared" si="5"/>
        <v>1.2318840579710144</v>
      </c>
      <c r="AN41" s="216">
        <f t="shared" si="5"/>
        <v>1.0084033613445378</v>
      </c>
      <c r="AQ41" s="110">
        <v>40</v>
      </c>
      <c r="AR41" s="110">
        <v>24</v>
      </c>
      <c r="AS41" s="218"/>
      <c r="AT41" s="218"/>
      <c r="AU41" s="218"/>
      <c r="AV41" s="218"/>
      <c r="AW41" s="218"/>
      <c r="AX41" s="218"/>
      <c r="AY41" s="218"/>
      <c r="AZ41" s="218"/>
      <c r="BA41" s="218">
        <f t="shared" si="15"/>
        <v>13.5</v>
      </c>
      <c r="BB41" s="218">
        <f t="shared" si="15"/>
        <v>11</v>
      </c>
    </row>
    <row r="42" spans="1:54" s="102" customFormat="1" x14ac:dyDescent="0.2">
      <c r="A42" s="203"/>
      <c r="B42" s="204">
        <v>18</v>
      </c>
      <c r="C42" s="205"/>
      <c r="D42" s="205"/>
      <c r="E42" s="205"/>
      <c r="F42" s="205"/>
      <c r="G42" s="205"/>
      <c r="H42" s="205"/>
      <c r="I42" s="205"/>
      <c r="J42" s="205"/>
      <c r="K42" s="205"/>
      <c r="L42" s="205">
        <f>VLOOKUP(($A$43+L$5)/2-$B42,FAKT_C109,2,-1)</f>
        <v>0.14549999999999999</v>
      </c>
      <c r="P42" s="102">
        <v>18</v>
      </c>
      <c r="Z42" s="102">
        <v>0.19</v>
      </c>
      <c r="AD42" s="102">
        <v>18</v>
      </c>
      <c r="AE42" s="205"/>
      <c r="AF42" s="205"/>
      <c r="AG42" s="205"/>
      <c r="AH42" s="205"/>
      <c r="AI42" s="205"/>
      <c r="AJ42" s="205"/>
      <c r="AK42" s="205"/>
      <c r="AL42" s="205"/>
      <c r="AM42" s="205"/>
      <c r="AN42" s="205">
        <f t="shared" ref="AN42:AN44" si="16">SUM(Z42/L42)</f>
        <v>1.3058419243986255</v>
      </c>
      <c r="AQ42" s="102">
        <v>35</v>
      </c>
      <c r="AR42" s="102">
        <v>18</v>
      </c>
      <c r="AS42" s="206"/>
      <c r="AT42" s="206"/>
      <c r="AU42" s="206"/>
      <c r="AV42" s="206"/>
      <c r="AW42" s="206"/>
      <c r="AX42" s="206"/>
      <c r="AY42" s="206"/>
      <c r="AZ42" s="206"/>
      <c r="BA42" s="206"/>
      <c r="BB42" s="206">
        <f>SUM(($AQ42+BB$5)/2)-$AR42</f>
        <v>14.5</v>
      </c>
    </row>
    <row r="43" spans="1:54" s="102" customFormat="1" x14ac:dyDescent="0.2">
      <c r="A43" s="203">
        <v>35</v>
      </c>
      <c r="B43" s="207">
        <v>20</v>
      </c>
      <c r="C43" s="208"/>
      <c r="D43" s="208"/>
      <c r="E43" s="208"/>
      <c r="F43" s="208"/>
      <c r="G43" s="208"/>
      <c r="H43" s="208"/>
      <c r="I43" s="208"/>
      <c r="J43" s="208"/>
      <c r="K43" s="208"/>
      <c r="L43" s="208">
        <f>VLOOKUP(($A$43+L$5)/2-$B43,FAKT_C109,2,-1)</f>
        <v>0.1305</v>
      </c>
      <c r="O43" s="102">
        <v>35</v>
      </c>
      <c r="P43" s="102">
        <v>20</v>
      </c>
      <c r="Z43" s="102">
        <v>0.15</v>
      </c>
      <c r="AC43" s="209">
        <v>35</v>
      </c>
      <c r="AD43" s="209">
        <v>20</v>
      </c>
      <c r="AE43" s="210"/>
      <c r="AF43" s="210"/>
      <c r="AG43" s="210"/>
      <c r="AH43" s="210"/>
      <c r="AI43" s="210"/>
      <c r="AJ43" s="210"/>
      <c r="AK43" s="210"/>
      <c r="AL43" s="210"/>
      <c r="AM43" s="210"/>
      <c r="AN43" s="210">
        <f t="shared" si="16"/>
        <v>1.1494252873563218</v>
      </c>
      <c r="AQ43" s="209">
        <v>35</v>
      </c>
      <c r="AR43" s="209">
        <v>20</v>
      </c>
      <c r="AS43" s="211"/>
      <c r="AT43" s="211"/>
      <c r="AU43" s="211"/>
      <c r="AV43" s="211"/>
      <c r="AW43" s="211"/>
      <c r="AX43" s="211"/>
      <c r="AY43" s="211"/>
      <c r="AZ43" s="211"/>
      <c r="BA43" s="211"/>
      <c r="BB43" s="211">
        <f>SUM(($AQ43+BB$5)/2)-$AR43</f>
        <v>12.5</v>
      </c>
    </row>
    <row r="44" spans="1:54" s="102" customFormat="1" x14ac:dyDescent="0.2">
      <c r="A44" s="203"/>
      <c r="B44" s="204">
        <v>22</v>
      </c>
      <c r="C44" s="205"/>
      <c r="D44" s="205"/>
      <c r="E44" s="205"/>
      <c r="F44" s="205"/>
      <c r="G44" s="205"/>
      <c r="H44" s="205"/>
      <c r="I44" s="205"/>
      <c r="J44" s="205"/>
      <c r="K44" s="205"/>
      <c r="L44" s="205">
        <f>VLOOKUP(($A$43+L$5)/2-$B44,FAKT_C109,2,-1)</f>
        <v>0.11549999999999999</v>
      </c>
      <c r="P44" s="102">
        <v>22</v>
      </c>
      <c r="Z44" s="102">
        <v>0.12</v>
      </c>
      <c r="AD44" s="102">
        <v>22</v>
      </c>
      <c r="AE44" s="205"/>
      <c r="AF44" s="205"/>
      <c r="AG44" s="205"/>
      <c r="AH44" s="205"/>
      <c r="AI44" s="205"/>
      <c r="AJ44" s="205"/>
      <c r="AK44" s="205"/>
      <c r="AL44" s="205"/>
      <c r="AM44" s="205"/>
      <c r="AN44" s="205">
        <f t="shared" si="16"/>
        <v>1.0389610389610391</v>
      </c>
      <c r="AQ44" s="102">
        <v>35</v>
      </c>
      <c r="AR44" s="102">
        <v>22</v>
      </c>
      <c r="AS44" s="206"/>
      <c r="AT44" s="206"/>
      <c r="AU44" s="206"/>
      <c r="AV44" s="206"/>
      <c r="AW44" s="206"/>
      <c r="AX44" s="206"/>
      <c r="AY44" s="206"/>
      <c r="AZ44" s="206"/>
      <c r="BA44" s="206"/>
      <c r="BB44" s="206">
        <f>SUM(($AQ44+BB$5)/2)-$AR44</f>
        <v>10.5</v>
      </c>
    </row>
    <row r="45" spans="1:54" s="102" customFormat="1" x14ac:dyDescent="0.2">
      <c r="A45" s="212"/>
      <c r="B45" s="225">
        <v>24</v>
      </c>
      <c r="C45" s="226"/>
      <c r="D45" s="226"/>
      <c r="E45" s="226"/>
      <c r="F45" s="226"/>
      <c r="G45" s="226"/>
      <c r="H45" s="226"/>
      <c r="I45" s="226"/>
      <c r="J45" s="226"/>
      <c r="K45" s="226"/>
      <c r="L45" s="226">
        <f>VLOOKUP(($A$43+L$5)/2-$B45,FAKT_C109,2,-1)</f>
        <v>0.09</v>
      </c>
      <c r="P45" s="102">
        <v>24</v>
      </c>
      <c r="Z45" s="102">
        <v>0.09</v>
      </c>
      <c r="AD45" s="102">
        <v>24</v>
      </c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</row>
    <row r="47" spans="1:54" x14ac:dyDescent="0.2">
      <c r="A47" s="101" t="str">
        <f>VLOOKUP(54,TXT,$A$1,0)</f>
        <v>tVL = Vorlauftemperatur  [°C]</v>
      </c>
      <c r="F47" s="193" t="str">
        <f>VLOOKUP(55,TXT,$A$1,0)</f>
        <v>ti = Raumlufttemperatur  [°C]</v>
      </c>
      <c r="L47" s="140" t="str">
        <f>VLOOKUP(56,TXT,$A$1,0)</f>
        <v>tRL = Rücklauftemperatur  [°C]</v>
      </c>
    </row>
    <row r="49" spans="1:1" x14ac:dyDescent="0.2">
      <c r="A49" s="101" t="str">
        <f>VLOOKUP(53,TXT,$A$1,0)</f>
        <v>Umrechnungsfaktoren zur Umrechnung der Norm-Wärmeleistung bei Heizmedium 75 / 65 / +20 °C</v>
      </c>
    </row>
    <row r="50" spans="1:1" x14ac:dyDescent="0.2">
      <c r="A50" s="101" t="str">
        <f>VLOOKUP(58,TXT,$A$1,0)</f>
        <v>Allco  LIB-Modell   Höhe 90 mm, 109 mm, 140 mm und 190 mm</v>
      </c>
    </row>
    <row r="51" spans="1:1" x14ac:dyDescent="0.2">
      <c r="A51" s="101" t="str">
        <f>VLOOKUP(29,TXT,$A$1,0)</f>
        <v>Minimale Wassermassenströme von ca. 20 kg/h sollen eingehalten werden</v>
      </c>
    </row>
  </sheetData>
  <pageMargins left="0.51181102362204722" right="0.51181102362204722" top="1.1811023622047245" bottom="0.39370078740157483" header="0.31496062992125984" footer="0.31496062992125984"/>
  <pageSetup paperSize="9" orientation="portrait" r:id="rId1"/>
  <headerFooter>
    <oddHeader>&amp;C&amp;G</oddHeader>
    <oddFooter>&amp;C&amp;G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2A32F-EEE0-4012-A5FF-36863457CDE8}">
  <dimension ref="A1:L51"/>
  <sheetViews>
    <sheetView zoomScaleNormal="100" workbookViewId="0">
      <selection activeCell="F3" sqref="F3:G3"/>
    </sheetView>
  </sheetViews>
  <sheetFormatPr baseColWidth="10" defaultColWidth="7.85546875" defaultRowHeight="12.75" x14ac:dyDescent="0.2"/>
  <cols>
    <col min="1" max="1" width="7.85546875" style="101" customWidth="1"/>
    <col min="2" max="2" width="7.85546875" style="193" customWidth="1"/>
    <col min="3" max="16384" width="7.85546875" style="101"/>
  </cols>
  <sheetData>
    <row r="1" spans="1:12" ht="39" customHeight="1" x14ac:dyDescent="0.2">
      <c r="A1" s="192">
        <v>2</v>
      </c>
    </row>
    <row r="2" spans="1:12" ht="15.75" x14ac:dyDescent="0.25">
      <c r="A2" s="194" t="str">
        <f>VLOOKUP(51,TXT,$A$1,0)</f>
        <v>UMRECHNUNGSFAKTOREN   FAN-90 + FAN-109 + FAN-125</v>
      </c>
      <c r="B2" s="195"/>
      <c r="C2" s="196"/>
      <c r="D2" s="196"/>
      <c r="E2" s="196"/>
      <c r="F2" s="196"/>
      <c r="G2" s="196"/>
      <c r="H2" s="196"/>
      <c r="I2" s="196"/>
      <c r="J2" s="196"/>
      <c r="K2" s="196"/>
      <c r="L2" s="197" t="s">
        <v>1405</v>
      </c>
    </row>
    <row r="3" spans="1:12" s="102" customFormat="1" x14ac:dyDescent="0.2">
      <c r="B3" s="198"/>
    </row>
    <row r="4" spans="1:12" s="102" customFormat="1" x14ac:dyDescent="0.2">
      <c r="B4" s="198"/>
      <c r="C4" s="199"/>
      <c r="D4" s="199"/>
      <c r="E4" s="199"/>
      <c r="F4" s="199"/>
      <c r="G4" s="200" t="s">
        <v>1408</v>
      </c>
      <c r="H4" s="199"/>
      <c r="I4" s="199"/>
      <c r="J4" s="199"/>
      <c r="K4" s="199"/>
      <c r="L4" s="199"/>
    </row>
    <row r="5" spans="1:12" s="102" customFormat="1" x14ac:dyDescent="0.2">
      <c r="A5" s="201" t="s">
        <v>1410</v>
      </c>
      <c r="B5" s="198" t="s">
        <v>1411</v>
      </c>
      <c r="C5" s="202">
        <v>75</v>
      </c>
      <c r="D5" s="202">
        <v>70</v>
      </c>
      <c r="E5" s="202">
        <v>65</v>
      </c>
      <c r="F5" s="202">
        <v>60</v>
      </c>
      <c r="G5" s="202">
        <v>55</v>
      </c>
      <c r="H5" s="202">
        <v>50</v>
      </c>
      <c r="I5" s="202">
        <v>45</v>
      </c>
      <c r="J5" s="202">
        <v>40</v>
      </c>
      <c r="K5" s="202">
        <v>35</v>
      </c>
      <c r="L5" s="202">
        <v>30</v>
      </c>
    </row>
    <row r="6" spans="1:12" s="102" customFormat="1" x14ac:dyDescent="0.2">
      <c r="A6" s="203"/>
      <c r="B6" s="204">
        <v>18</v>
      </c>
      <c r="C6" s="205">
        <f t="shared" ref="C6:J9" si="0">VLOOKUP(($A$7+C$5)/2-$B6,FAKT_C109,3,-1)</f>
        <v>1.1990000000000001</v>
      </c>
      <c r="D6" s="205">
        <f t="shared" si="0"/>
        <v>1.1459999999999999</v>
      </c>
      <c r="E6" s="205">
        <f t="shared" si="0"/>
        <v>1.0940000000000001</v>
      </c>
      <c r="F6" s="205">
        <f t="shared" si="0"/>
        <v>1.042</v>
      </c>
      <c r="G6" s="205">
        <f t="shared" si="0"/>
        <v>0.98899999999999999</v>
      </c>
      <c r="H6" s="205">
        <f t="shared" si="0"/>
        <v>0.93799999999999994</v>
      </c>
      <c r="I6" s="205">
        <f t="shared" si="0"/>
        <v>0.88600000000000001</v>
      </c>
      <c r="J6" s="205">
        <f t="shared" si="0"/>
        <v>0.83399999999999996</v>
      </c>
      <c r="K6" s="205"/>
      <c r="L6" s="205"/>
    </row>
    <row r="7" spans="1:12" s="102" customFormat="1" x14ac:dyDescent="0.2">
      <c r="A7" s="203">
        <v>80</v>
      </c>
      <c r="B7" s="207">
        <v>20</v>
      </c>
      <c r="C7" s="208">
        <f t="shared" si="0"/>
        <v>1.1559999999999999</v>
      </c>
      <c r="D7" s="208">
        <f t="shared" si="0"/>
        <v>1.105</v>
      </c>
      <c r="E7" s="208">
        <f t="shared" si="0"/>
        <v>1.052</v>
      </c>
      <c r="F7" s="208">
        <f t="shared" si="0"/>
        <v>1</v>
      </c>
      <c r="G7" s="208">
        <f t="shared" si="0"/>
        <v>0.94799999999999995</v>
      </c>
      <c r="H7" s="208">
        <f t="shared" si="0"/>
        <v>0.89600000000000002</v>
      </c>
      <c r="I7" s="208">
        <f t="shared" si="0"/>
        <v>0.84499999999999997</v>
      </c>
      <c r="J7" s="208">
        <f t="shared" si="0"/>
        <v>0.79200000000000004</v>
      </c>
      <c r="K7" s="208"/>
      <c r="L7" s="208"/>
    </row>
    <row r="8" spans="1:12" s="102" customFormat="1" x14ac:dyDescent="0.2">
      <c r="A8" s="203"/>
      <c r="B8" s="204">
        <v>22</v>
      </c>
      <c r="C8" s="205">
        <f t="shared" si="0"/>
        <v>1.1140000000000001</v>
      </c>
      <c r="D8" s="205">
        <f t="shared" si="0"/>
        <v>1.0620000000000001</v>
      </c>
      <c r="E8" s="205">
        <f t="shared" si="0"/>
        <v>1.01</v>
      </c>
      <c r="F8" s="205">
        <f t="shared" si="0"/>
        <v>0.95799999999999996</v>
      </c>
      <c r="G8" s="205">
        <f t="shared" si="0"/>
        <v>0.90600000000000003</v>
      </c>
      <c r="H8" s="205">
        <f t="shared" si="0"/>
        <v>0.85499999999999998</v>
      </c>
      <c r="I8" s="205">
        <f t="shared" si="0"/>
        <v>0.80300000000000005</v>
      </c>
      <c r="J8" s="205">
        <f t="shared" si="0"/>
        <v>0.752</v>
      </c>
      <c r="K8" s="205"/>
      <c r="L8" s="205"/>
    </row>
    <row r="9" spans="1:12" s="102" customFormat="1" x14ac:dyDescent="0.2">
      <c r="A9" s="212"/>
      <c r="B9" s="213">
        <v>24</v>
      </c>
      <c r="C9" s="214">
        <f t="shared" si="0"/>
        <v>1.073</v>
      </c>
      <c r="D9" s="214">
        <f t="shared" si="0"/>
        <v>1.02</v>
      </c>
      <c r="E9" s="214">
        <f t="shared" si="0"/>
        <v>0.96899999999999997</v>
      </c>
      <c r="F9" s="214">
        <f t="shared" si="0"/>
        <v>0.91700000000000004</v>
      </c>
      <c r="G9" s="214">
        <f t="shared" si="0"/>
        <v>0.86499999999999999</v>
      </c>
      <c r="H9" s="214">
        <f t="shared" si="0"/>
        <v>0.81399999999999995</v>
      </c>
      <c r="I9" s="214">
        <f t="shared" si="0"/>
        <v>0.76200000000000001</v>
      </c>
      <c r="J9" s="214">
        <f t="shared" si="0"/>
        <v>0.71099999999999997</v>
      </c>
      <c r="K9" s="214"/>
      <c r="L9" s="214"/>
    </row>
    <row r="10" spans="1:12" s="102" customFormat="1" x14ac:dyDescent="0.2">
      <c r="A10" s="203"/>
      <c r="B10" s="204">
        <v>18</v>
      </c>
      <c r="C10" s="205"/>
      <c r="D10" s="205">
        <f t="shared" ref="D10:K13" si="1">VLOOKUP(($A$11+D$5)/2-$B10,FAKT_C109,3,-1)</f>
        <v>1.0940000000000001</v>
      </c>
      <c r="E10" s="205">
        <f t="shared" si="1"/>
        <v>1.042</v>
      </c>
      <c r="F10" s="205">
        <f t="shared" si="1"/>
        <v>0.98899999999999999</v>
      </c>
      <c r="G10" s="205">
        <f t="shared" si="1"/>
        <v>0.93799999999999994</v>
      </c>
      <c r="H10" s="205">
        <f t="shared" si="1"/>
        <v>0.88600000000000001</v>
      </c>
      <c r="I10" s="205">
        <f t="shared" si="1"/>
        <v>0.83399999999999996</v>
      </c>
      <c r="J10" s="205">
        <f t="shared" si="1"/>
        <v>0.78300000000000003</v>
      </c>
      <c r="K10" s="205">
        <f t="shared" si="1"/>
        <v>0.73099999999999998</v>
      </c>
      <c r="L10" s="205"/>
    </row>
    <row r="11" spans="1:12" s="102" customFormat="1" x14ac:dyDescent="0.2">
      <c r="A11" s="203">
        <v>75</v>
      </c>
      <c r="B11" s="207">
        <v>20</v>
      </c>
      <c r="C11" s="208"/>
      <c r="D11" s="208">
        <f t="shared" si="1"/>
        <v>1.052</v>
      </c>
      <c r="E11" s="208">
        <f t="shared" si="1"/>
        <v>1</v>
      </c>
      <c r="F11" s="208">
        <f t="shared" si="1"/>
        <v>0.94799999999999995</v>
      </c>
      <c r="G11" s="208">
        <f t="shared" si="1"/>
        <v>0.89600000000000002</v>
      </c>
      <c r="H11" s="208">
        <f t="shared" si="1"/>
        <v>0.84499999999999997</v>
      </c>
      <c r="I11" s="208">
        <f t="shared" si="1"/>
        <v>0.79200000000000004</v>
      </c>
      <c r="J11" s="208">
        <f t="shared" si="1"/>
        <v>0.74099999999999999</v>
      </c>
      <c r="K11" s="208">
        <f t="shared" si="1"/>
        <v>0.69</v>
      </c>
      <c r="L11" s="208"/>
    </row>
    <row r="12" spans="1:12" s="102" customFormat="1" x14ac:dyDescent="0.2">
      <c r="A12" s="203"/>
      <c r="B12" s="204">
        <v>22</v>
      </c>
      <c r="C12" s="205"/>
      <c r="D12" s="205">
        <f t="shared" si="1"/>
        <v>1.01</v>
      </c>
      <c r="E12" s="205">
        <f t="shared" si="1"/>
        <v>0.95799999999999996</v>
      </c>
      <c r="F12" s="205">
        <f t="shared" si="1"/>
        <v>0.90600000000000003</v>
      </c>
      <c r="G12" s="205">
        <f t="shared" si="1"/>
        <v>0.85499999999999998</v>
      </c>
      <c r="H12" s="205">
        <f t="shared" si="1"/>
        <v>0.80300000000000005</v>
      </c>
      <c r="I12" s="205">
        <f t="shared" si="1"/>
        <v>0.752</v>
      </c>
      <c r="J12" s="205">
        <f t="shared" si="1"/>
        <v>0.7</v>
      </c>
      <c r="K12" s="205">
        <f t="shared" si="1"/>
        <v>0.65</v>
      </c>
      <c r="L12" s="205"/>
    </row>
    <row r="13" spans="1:12" s="102" customFormat="1" x14ac:dyDescent="0.2">
      <c r="A13" s="212"/>
      <c r="B13" s="213">
        <v>24</v>
      </c>
      <c r="C13" s="214"/>
      <c r="D13" s="214">
        <f t="shared" si="1"/>
        <v>0.96899999999999997</v>
      </c>
      <c r="E13" s="214">
        <f t="shared" si="1"/>
        <v>0.91700000000000004</v>
      </c>
      <c r="F13" s="214">
        <f t="shared" si="1"/>
        <v>0.86499999999999999</v>
      </c>
      <c r="G13" s="214">
        <f t="shared" si="1"/>
        <v>0.81399999999999995</v>
      </c>
      <c r="H13" s="214">
        <f t="shared" si="1"/>
        <v>0.76200000000000001</v>
      </c>
      <c r="I13" s="214">
        <f t="shared" si="1"/>
        <v>0.71099999999999997</v>
      </c>
      <c r="J13" s="214">
        <f t="shared" si="1"/>
        <v>0.65900000000000003</v>
      </c>
      <c r="K13" s="214">
        <f t="shared" si="1"/>
        <v>0.60899999999999999</v>
      </c>
      <c r="L13" s="214"/>
    </row>
    <row r="14" spans="1:12" s="102" customFormat="1" x14ac:dyDescent="0.2">
      <c r="A14" s="203"/>
      <c r="B14" s="204">
        <v>18</v>
      </c>
      <c r="C14" s="205"/>
      <c r="D14" s="205"/>
      <c r="E14" s="205">
        <f t="shared" ref="E14:L17" si="2">VLOOKUP(($A$15+E$5)/2-$B14,FAKT_C109,3,-1)</f>
        <v>0.98899999999999999</v>
      </c>
      <c r="F14" s="205">
        <f t="shared" si="2"/>
        <v>0.93799999999999994</v>
      </c>
      <c r="G14" s="205">
        <f t="shared" si="2"/>
        <v>0.88600000000000001</v>
      </c>
      <c r="H14" s="205">
        <f t="shared" si="2"/>
        <v>0.83399999999999996</v>
      </c>
      <c r="I14" s="205">
        <f t="shared" si="2"/>
        <v>0.78300000000000003</v>
      </c>
      <c r="J14" s="205">
        <f t="shared" si="2"/>
        <v>0.73099999999999998</v>
      </c>
      <c r="K14" s="205">
        <f t="shared" si="2"/>
        <v>0.68</v>
      </c>
      <c r="L14" s="205">
        <f t="shared" si="2"/>
        <v>0.628</v>
      </c>
    </row>
    <row r="15" spans="1:12" s="102" customFormat="1" x14ac:dyDescent="0.2">
      <c r="A15" s="203">
        <v>70</v>
      </c>
      <c r="B15" s="207">
        <v>20</v>
      </c>
      <c r="C15" s="208"/>
      <c r="D15" s="208"/>
      <c r="E15" s="208">
        <f t="shared" si="2"/>
        <v>0.94799999999999995</v>
      </c>
      <c r="F15" s="208">
        <f t="shared" si="2"/>
        <v>0.89600000000000002</v>
      </c>
      <c r="G15" s="208">
        <f t="shared" si="2"/>
        <v>0.84499999999999997</v>
      </c>
      <c r="H15" s="208">
        <f t="shared" si="2"/>
        <v>0.79200000000000004</v>
      </c>
      <c r="I15" s="208">
        <f t="shared" si="2"/>
        <v>0.74099999999999999</v>
      </c>
      <c r="J15" s="208">
        <f t="shared" si="2"/>
        <v>0.69</v>
      </c>
      <c r="K15" s="208">
        <f t="shared" si="2"/>
        <v>0.63900000000000001</v>
      </c>
      <c r="L15" s="208">
        <f t="shared" si="2"/>
        <v>0.58799999999999997</v>
      </c>
    </row>
    <row r="16" spans="1:12" s="102" customFormat="1" x14ac:dyDescent="0.2">
      <c r="A16" s="203"/>
      <c r="B16" s="204">
        <v>22</v>
      </c>
      <c r="C16" s="205"/>
      <c r="D16" s="205"/>
      <c r="E16" s="205">
        <f t="shared" si="2"/>
        <v>0.90600000000000003</v>
      </c>
      <c r="F16" s="205">
        <f t="shared" si="2"/>
        <v>0.85499999999999998</v>
      </c>
      <c r="G16" s="205">
        <f t="shared" si="2"/>
        <v>0.80300000000000005</v>
      </c>
      <c r="H16" s="205">
        <f t="shared" si="2"/>
        <v>0.752</v>
      </c>
      <c r="I16" s="205">
        <f t="shared" si="2"/>
        <v>0.7</v>
      </c>
      <c r="J16" s="205">
        <f t="shared" si="2"/>
        <v>0.65</v>
      </c>
      <c r="K16" s="205">
        <f t="shared" si="2"/>
        <v>0.59799999999999998</v>
      </c>
      <c r="L16" s="205">
        <f t="shared" si="2"/>
        <v>0.54700000000000004</v>
      </c>
    </row>
    <row r="17" spans="1:12" s="102" customFormat="1" x14ac:dyDescent="0.2">
      <c r="A17" s="212"/>
      <c r="B17" s="213">
        <v>24</v>
      </c>
      <c r="C17" s="214"/>
      <c r="D17" s="214"/>
      <c r="E17" s="214">
        <f t="shared" si="2"/>
        <v>0.86499999999999999</v>
      </c>
      <c r="F17" s="214">
        <f t="shared" si="2"/>
        <v>0.81399999999999995</v>
      </c>
      <c r="G17" s="214">
        <f t="shared" si="2"/>
        <v>0.76200000000000001</v>
      </c>
      <c r="H17" s="214">
        <f t="shared" si="2"/>
        <v>0.71099999999999997</v>
      </c>
      <c r="I17" s="214">
        <f t="shared" si="2"/>
        <v>0.65900000000000003</v>
      </c>
      <c r="J17" s="214">
        <f t="shared" si="2"/>
        <v>0.60899999999999999</v>
      </c>
      <c r="K17" s="214">
        <f t="shared" si="2"/>
        <v>0.55700000000000005</v>
      </c>
      <c r="L17" s="214">
        <f t="shared" si="2"/>
        <v>0.50700000000000001</v>
      </c>
    </row>
    <row r="18" spans="1:12" s="102" customFormat="1" x14ac:dyDescent="0.2">
      <c r="A18" s="203"/>
      <c r="B18" s="204">
        <v>18</v>
      </c>
      <c r="C18" s="205"/>
      <c r="D18" s="205"/>
      <c r="E18" s="205"/>
      <c r="F18" s="205">
        <f t="shared" ref="F18:L21" si="3">VLOOKUP(($A$19+F$5)/2-$B18,FAKT_C109,3,-1)</f>
        <v>0.88600000000000001</v>
      </c>
      <c r="G18" s="205">
        <f t="shared" si="3"/>
        <v>0.83399999999999996</v>
      </c>
      <c r="H18" s="205">
        <f t="shared" si="3"/>
        <v>0.78300000000000003</v>
      </c>
      <c r="I18" s="205">
        <f t="shared" si="3"/>
        <v>0.73099999999999998</v>
      </c>
      <c r="J18" s="205">
        <f t="shared" si="3"/>
        <v>0.68</v>
      </c>
      <c r="K18" s="205">
        <f t="shared" si="3"/>
        <v>0.628</v>
      </c>
      <c r="L18" s="205">
        <f t="shared" si="3"/>
        <v>0.57799999999999996</v>
      </c>
    </row>
    <row r="19" spans="1:12" s="102" customFormat="1" x14ac:dyDescent="0.2">
      <c r="A19" s="203">
        <v>65</v>
      </c>
      <c r="B19" s="207">
        <v>20</v>
      </c>
      <c r="C19" s="208"/>
      <c r="D19" s="208"/>
      <c r="E19" s="208"/>
      <c r="F19" s="208">
        <f t="shared" si="3"/>
        <v>0.84499999999999997</v>
      </c>
      <c r="G19" s="208">
        <f t="shared" si="3"/>
        <v>0.79200000000000004</v>
      </c>
      <c r="H19" s="208">
        <f t="shared" si="3"/>
        <v>0.74099999999999999</v>
      </c>
      <c r="I19" s="208">
        <f t="shared" si="3"/>
        <v>0.69</v>
      </c>
      <c r="J19" s="208">
        <f t="shared" si="3"/>
        <v>0.63900000000000001</v>
      </c>
      <c r="K19" s="208">
        <f t="shared" si="3"/>
        <v>0.58799999999999997</v>
      </c>
      <c r="L19" s="208">
        <f t="shared" si="3"/>
        <v>0.53700000000000003</v>
      </c>
    </row>
    <row r="20" spans="1:12" s="102" customFormat="1" x14ac:dyDescent="0.2">
      <c r="A20" s="203"/>
      <c r="B20" s="204">
        <v>22</v>
      </c>
      <c r="C20" s="205"/>
      <c r="D20" s="205"/>
      <c r="E20" s="205"/>
      <c r="F20" s="205">
        <f t="shared" si="3"/>
        <v>0.80300000000000005</v>
      </c>
      <c r="G20" s="205">
        <f t="shared" si="3"/>
        <v>0.752</v>
      </c>
      <c r="H20" s="205">
        <f t="shared" si="3"/>
        <v>0.7</v>
      </c>
      <c r="I20" s="205">
        <f t="shared" si="3"/>
        <v>0.65</v>
      </c>
      <c r="J20" s="205">
        <f t="shared" si="3"/>
        <v>0.59799999999999998</v>
      </c>
      <c r="K20" s="205">
        <f t="shared" si="3"/>
        <v>0.54700000000000004</v>
      </c>
      <c r="L20" s="205">
        <f t="shared" si="3"/>
        <v>0.496</v>
      </c>
    </row>
    <row r="21" spans="1:12" s="102" customFormat="1" x14ac:dyDescent="0.2">
      <c r="A21" s="212"/>
      <c r="B21" s="225">
        <v>24</v>
      </c>
      <c r="C21" s="226"/>
      <c r="D21" s="226"/>
      <c r="E21" s="226"/>
      <c r="F21" s="226">
        <f t="shared" si="3"/>
        <v>0.76200000000000001</v>
      </c>
      <c r="G21" s="226">
        <f t="shared" si="3"/>
        <v>0.71099999999999997</v>
      </c>
      <c r="H21" s="226">
        <f t="shared" si="3"/>
        <v>0.65900000000000003</v>
      </c>
      <c r="I21" s="226">
        <f t="shared" si="3"/>
        <v>0.60899999999999999</v>
      </c>
      <c r="J21" s="226">
        <f t="shared" si="3"/>
        <v>0.55700000000000005</v>
      </c>
      <c r="K21" s="226">
        <f t="shared" si="3"/>
        <v>0.50700000000000001</v>
      </c>
      <c r="L21" s="226">
        <f t="shared" si="3"/>
        <v>0.45600000000000002</v>
      </c>
    </row>
    <row r="22" spans="1:12" s="102" customFormat="1" x14ac:dyDescent="0.2">
      <c r="A22" s="203"/>
      <c r="B22" s="204">
        <v>18</v>
      </c>
      <c r="C22" s="205"/>
      <c r="D22" s="205"/>
      <c r="E22" s="205"/>
      <c r="F22" s="205"/>
      <c r="G22" s="205">
        <f t="shared" ref="G22:L25" si="4">VLOOKUP(($A$23+G$5)/2-$B22,FAKT_C109,3,-1)</f>
        <v>0.78300000000000003</v>
      </c>
      <c r="H22" s="205">
        <f t="shared" si="4"/>
        <v>0.73099999999999998</v>
      </c>
      <c r="I22" s="205">
        <f t="shared" si="4"/>
        <v>0.68</v>
      </c>
      <c r="J22" s="205">
        <f t="shared" si="4"/>
        <v>0.628</v>
      </c>
      <c r="K22" s="205">
        <f t="shared" si="4"/>
        <v>0.57799999999999996</v>
      </c>
      <c r="L22" s="205">
        <f t="shared" si="4"/>
        <v>0.52700000000000002</v>
      </c>
    </row>
    <row r="23" spans="1:12" s="102" customFormat="1" x14ac:dyDescent="0.2">
      <c r="A23" s="203">
        <v>60</v>
      </c>
      <c r="B23" s="207">
        <v>20</v>
      </c>
      <c r="C23" s="208"/>
      <c r="D23" s="208"/>
      <c r="E23" s="208"/>
      <c r="F23" s="208"/>
      <c r="G23" s="208">
        <f t="shared" si="4"/>
        <v>0.74099999999999999</v>
      </c>
      <c r="H23" s="208">
        <f t="shared" si="4"/>
        <v>0.69</v>
      </c>
      <c r="I23" s="208">
        <f t="shared" si="4"/>
        <v>0.63900000000000001</v>
      </c>
      <c r="J23" s="208">
        <f t="shared" si="4"/>
        <v>0.58799999999999997</v>
      </c>
      <c r="K23" s="208">
        <f t="shared" si="4"/>
        <v>0.53700000000000003</v>
      </c>
      <c r="L23" s="208">
        <f t="shared" si="4"/>
        <v>0.48599999999999999</v>
      </c>
    </row>
    <row r="24" spans="1:12" s="102" customFormat="1" x14ac:dyDescent="0.2">
      <c r="A24" s="203"/>
      <c r="B24" s="204">
        <v>22</v>
      </c>
      <c r="C24" s="205"/>
      <c r="D24" s="205"/>
      <c r="E24" s="205"/>
      <c r="F24" s="205"/>
      <c r="G24" s="205">
        <f t="shared" si="4"/>
        <v>0.7</v>
      </c>
      <c r="H24" s="205">
        <f t="shared" si="4"/>
        <v>0.65</v>
      </c>
      <c r="I24" s="205">
        <f t="shared" si="4"/>
        <v>0.59799999999999998</v>
      </c>
      <c r="J24" s="205">
        <f t="shared" si="4"/>
        <v>0.54700000000000004</v>
      </c>
      <c r="K24" s="205">
        <f t="shared" si="4"/>
        <v>0.496</v>
      </c>
      <c r="L24" s="205">
        <f t="shared" si="4"/>
        <v>0.44600000000000001</v>
      </c>
    </row>
    <row r="25" spans="1:12" s="102" customFormat="1" x14ac:dyDescent="0.2">
      <c r="A25" s="212"/>
      <c r="B25" s="225">
        <v>24</v>
      </c>
      <c r="C25" s="226"/>
      <c r="D25" s="226"/>
      <c r="E25" s="226"/>
      <c r="F25" s="226"/>
      <c r="G25" s="226">
        <f t="shared" si="4"/>
        <v>0.65900000000000003</v>
      </c>
      <c r="H25" s="226">
        <f t="shared" si="4"/>
        <v>0.60899999999999999</v>
      </c>
      <c r="I25" s="226">
        <f t="shared" si="4"/>
        <v>0.55700000000000005</v>
      </c>
      <c r="J25" s="226">
        <f t="shared" si="4"/>
        <v>0.50700000000000001</v>
      </c>
      <c r="K25" s="226">
        <f t="shared" si="4"/>
        <v>0.45600000000000002</v>
      </c>
      <c r="L25" s="226">
        <f t="shared" si="4"/>
        <v>0.40600000000000003</v>
      </c>
    </row>
    <row r="26" spans="1:12" s="102" customFormat="1" x14ac:dyDescent="0.2">
      <c r="A26" s="203"/>
      <c r="B26" s="204">
        <v>18</v>
      </c>
      <c r="C26" s="205"/>
      <c r="D26" s="205"/>
      <c r="E26" s="205"/>
      <c r="F26" s="205"/>
      <c r="G26" s="205"/>
      <c r="H26" s="205">
        <f t="shared" ref="H26:L29" si="5">VLOOKUP(($A$27+H$5)/2-$B26,FAKT_C109,3,-1)</f>
        <v>0.68</v>
      </c>
      <c r="I26" s="205">
        <f t="shared" si="5"/>
        <v>0.628</v>
      </c>
      <c r="J26" s="205">
        <f t="shared" si="5"/>
        <v>0.57799999999999996</v>
      </c>
      <c r="K26" s="205">
        <f t="shared" si="5"/>
        <v>0.52700000000000002</v>
      </c>
      <c r="L26" s="205">
        <f t="shared" si="5"/>
        <v>0.47599999999999998</v>
      </c>
    </row>
    <row r="27" spans="1:12" s="102" customFormat="1" x14ac:dyDescent="0.2">
      <c r="A27" s="203">
        <v>55</v>
      </c>
      <c r="B27" s="207">
        <v>20</v>
      </c>
      <c r="C27" s="208"/>
      <c r="D27" s="208"/>
      <c r="E27" s="208"/>
      <c r="F27" s="208"/>
      <c r="G27" s="208"/>
      <c r="H27" s="208">
        <f t="shared" si="5"/>
        <v>0.63900000000000001</v>
      </c>
      <c r="I27" s="208">
        <f t="shared" si="5"/>
        <v>0.58799999999999997</v>
      </c>
      <c r="J27" s="208">
        <f t="shared" si="5"/>
        <v>0.53700000000000003</v>
      </c>
      <c r="K27" s="208">
        <f t="shared" si="5"/>
        <v>0.48599999999999999</v>
      </c>
      <c r="L27" s="208">
        <f t="shared" si="5"/>
        <v>0.435</v>
      </c>
    </row>
    <row r="28" spans="1:12" s="102" customFormat="1" x14ac:dyDescent="0.2">
      <c r="A28" s="203"/>
      <c r="B28" s="204">
        <v>22</v>
      </c>
      <c r="C28" s="205"/>
      <c r="D28" s="205"/>
      <c r="E28" s="205"/>
      <c r="F28" s="205"/>
      <c r="G28" s="205"/>
      <c r="H28" s="205">
        <f t="shared" si="5"/>
        <v>0.59799999999999998</v>
      </c>
      <c r="I28" s="205">
        <f t="shared" si="5"/>
        <v>0.54700000000000004</v>
      </c>
      <c r="J28" s="205">
        <f t="shared" si="5"/>
        <v>0.496</v>
      </c>
      <c r="K28" s="205">
        <f t="shared" si="5"/>
        <v>0.44600000000000001</v>
      </c>
      <c r="L28" s="205">
        <f t="shared" si="5"/>
        <v>0.39500000000000002</v>
      </c>
    </row>
    <row r="29" spans="1:12" s="102" customFormat="1" x14ac:dyDescent="0.2">
      <c r="A29" s="212"/>
      <c r="B29" s="225">
        <v>24</v>
      </c>
      <c r="C29" s="226"/>
      <c r="D29" s="226"/>
      <c r="E29" s="226"/>
      <c r="F29" s="226"/>
      <c r="G29" s="226"/>
      <c r="H29" s="226">
        <f t="shared" si="5"/>
        <v>0.55700000000000005</v>
      </c>
      <c r="I29" s="226">
        <f t="shared" si="5"/>
        <v>0.50700000000000001</v>
      </c>
      <c r="J29" s="226">
        <f t="shared" si="5"/>
        <v>0.45600000000000002</v>
      </c>
      <c r="K29" s="226">
        <f t="shared" si="5"/>
        <v>0.40600000000000003</v>
      </c>
      <c r="L29" s="226">
        <f t="shared" si="5"/>
        <v>0.35499999999999998</v>
      </c>
    </row>
    <row r="30" spans="1:12" s="102" customFormat="1" x14ac:dyDescent="0.2">
      <c r="A30" s="203"/>
      <c r="B30" s="204">
        <v>18</v>
      </c>
      <c r="C30" s="205"/>
      <c r="D30" s="205"/>
      <c r="E30" s="205"/>
      <c r="F30" s="205"/>
      <c r="G30" s="205"/>
      <c r="H30" s="205"/>
      <c r="I30" s="205">
        <f t="shared" ref="I30:L33" si="6">VLOOKUP(($A$31+I$5)/2-$B30,FAKT_C109,3,-1)</f>
        <v>0.57799999999999996</v>
      </c>
      <c r="J30" s="205">
        <f t="shared" si="6"/>
        <v>0.52700000000000002</v>
      </c>
      <c r="K30" s="205">
        <f t="shared" si="6"/>
        <v>0.47599999999999998</v>
      </c>
      <c r="L30" s="205">
        <f t="shared" si="6"/>
        <v>0.42599999999999999</v>
      </c>
    </row>
    <row r="31" spans="1:12" s="102" customFormat="1" x14ac:dyDescent="0.2">
      <c r="A31" s="203">
        <v>50</v>
      </c>
      <c r="B31" s="207">
        <v>20</v>
      </c>
      <c r="C31" s="208"/>
      <c r="D31" s="208"/>
      <c r="E31" s="208"/>
      <c r="F31" s="208"/>
      <c r="G31" s="208"/>
      <c r="H31" s="208"/>
      <c r="I31" s="208">
        <f t="shared" si="6"/>
        <v>0.53700000000000003</v>
      </c>
      <c r="J31" s="208">
        <f t="shared" si="6"/>
        <v>0.48599999999999999</v>
      </c>
      <c r="K31" s="208">
        <f t="shared" si="6"/>
        <v>0.435</v>
      </c>
      <c r="L31" s="208">
        <f t="shared" si="6"/>
        <v>0.38600000000000001</v>
      </c>
    </row>
    <row r="32" spans="1:12" s="102" customFormat="1" x14ac:dyDescent="0.2">
      <c r="A32" s="203"/>
      <c r="B32" s="204">
        <v>22</v>
      </c>
      <c r="C32" s="205"/>
      <c r="D32" s="205"/>
      <c r="E32" s="205"/>
      <c r="F32" s="205"/>
      <c r="G32" s="205"/>
      <c r="H32" s="205"/>
      <c r="I32" s="205">
        <f t="shared" si="6"/>
        <v>0.496</v>
      </c>
      <c r="J32" s="205">
        <f t="shared" si="6"/>
        <v>0.44600000000000001</v>
      </c>
      <c r="K32" s="205">
        <f t="shared" si="6"/>
        <v>0.39500000000000002</v>
      </c>
      <c r="L32" s="205">
        <f t="shared" si="6"/>
        <v>0.34599999999999997</v>
      </c>
    </row>
    <row r="33" spans="1:12" s="102" customFormat="1" x14ac:dyDescent="0.2">
      <c r="A33" s="212"/>
      <c r="B33" s="225">
        <v>24</v>
      </c>
      <c r="C33" s="226"/>
      <c r="D33" s="226"/>
      <c r="E33" s="226"/>
      <c r="F33" s="226"/>
      <c r="G33" s="226"/>
      <c r="H33" s="226"/>
      <c r="I33" s="226">
        <f t="shared" si="6"/>
        <v>0.45600000000000002</v>
      </c>
      <c r="J33" s="226">
        <f t="shared" si="6"/>
        <v>0.40600000000000003</v>
      </c>
      <c r="K33" s="226">
        <f t="shared" si="6"/>
        <v>0.35499999999999998</v>
      </c>
      <c r="L33" s="226">
        <f t="shared" si="6"/>
        <v>0.30599999999999999</v>
      </c>
    </row>
    <row r="34" spans="1:12" s="102" customFormat="1" x14ac:dyDescent="0.2">
      <c r="A34" s="203"/>
      <c r="B34" s="204">
        <v>18</v>
      </c>
      <c r="C34" s="205"/>
      <c r="D34" s="205"/>
      <c r="E34" s="205"/>
      <c r="F34" s="205"/>
      <c r="G34" s="205"/>
      <c r="H34" s="205"/>
      <c r="I34" s="205"/>
      <c r="J34" s="205">
        <f t="shared" ref="J34:L37" si="7">VLOOKUP(($A$35+J$5)/2-$B34,FAKT_C109,3,-1)</f>
        <v>0.47599999999999998</v>
      </c>
      <c r="K34" s="205">
        <f t="shared" si="7"/>
        <v>0.42599999999999999</v>
      </c>
      <c r="L34" s="205">
        <f t="shared" si="7"/>
        <v>0.375</v>
      </c>
    </row>
    <row r="35" spans="1:12" s="102" customFormat="1" x14ac:dyDescent="0.2">
      <c r="A35" s="203">
        <v>45</v>
      </c>
      <c r="B35" s="207">
        <v>20</v>
      </c>
      <c r="C35" s="208"/>
      <c r="D35" s="208"/>
      <c r="E35" s="208"/>
      <c r="F35" s="208"/>
      <c r="G35" s="208"/>
      <c r="H35" s="208"/>
      <c r="I35" s="208"/>
      <c r="J35" s="208">
        <f t="shared" si="7"/>
        <v>0.435</v>
      </c>
      <c r="K35" s="208">
        <f t="shared" si="7"/>
        <v>0.38600000000000001</v>
      </c>
      <c r="L35" s="208">
        <f t="shared" si="7"/>
        <v>0.33600000000000002</v>
      </c>
    </row>
    <row r="36" spans="1:12" s="102" customFormat="1" x14ac:dyDescent="0.2">
      <c r="A36" s="203"/>
      <c r="B36" s="204">
        <v>22</v>
      </c>
      <c r="C36" s="205"/>
      <c r="D36" s="205"/>
      <c r="E36" s="205"/>
      <c r="F36" s="205"/>
      <c r="G36" s="205"/>
      <c r="H36" s="205"/>
      <c r="I36" s="205"/>
      <c r="J36" s="205">
        <f t="shared" si="7"/>
        <v>0.39500000000000002</v>
      </c>
      <c r="K36" s="205">
        <f t="shared" si="7"/>
        <v>0.34599999999999997</v>
      </c>
      <c r="L36" s="205">
        <f t="shared" si="7"/>
        <v>0.29599999999999999</v>
      </c>
    </row>
    <row r="37" spans="1:12" s="102" customFormat="1" x14ac:dyDescent="0.2">
      <c r="A37" s="212"/>
      <c r="B37" s="225">
        <v>24</v>
      </c>
      <c r="C37" s="226"/>
      <c r="D37" s="226"/>
      <c r="E37" s="226"/>
      <c r="F37" s="226"/>
      <c r="G37" s="226"/>
      <c r="H37" s="226"/>
      <c r="I37" s="226"/>
      <c r="J37" s="226">
        <f t="shared" si="7"/>
        <v>0.35499999999999998</v>
      </c>
      <c r="K37" s="226">
        <f t="shared" si="7"/>
        <v>0.30599999999999999</v>
      </c>
      <c r="L37" s="226">
        <f t="shared" si="7"/>
        <v>0.25700000000000001</v>
      </c>
    </row>
    <row r="38" spans="1:12" s="102" customFormat="1" x14ac:dyDescent="0.2">
      <c r="A38" s="203"/>
      <c r="B38" s="204">
        <v>18</v>
      </c>
      <c r="C38" s="205"/>
      <c r="D38" s="205"/>
      <c r="E38" s="205"/>
      <c r="F38" s="205"/>
      <c r="G38" s="205"/>
      <c r="H38" s="205"/>
      <c r="I38" s="205"/>
      <c r="J38" s="205"/>
      <c r="K38" s="205">
        <f t="shared" ref="K38:L41" si="8">VLOOKUP(($A$39+K$5)/2-$B38,FAKT_C109,3,-1)</f>
        <v>0.375</v>
      </c>
      <c r="L38" s="205">
        <f t="shared" si="8"/>
        <v>0.32600000000000001</v>
      </c>
    </row>
    <row r="39" spans="1:12" s="102" customFormat="1" x14ac:dyDescent="0.2">
      <c r="A39" s="203">
        <v>40</v>
      </c>
      <c r="B39" s="207">
        <v>20</v>
      </c>
      <c r="C39" s="208"/>
      <c r="D39" s="208"/>
      <c r="E39" s="208"/>
      <c r="F39" s="208"/>
      <c r="G39" s="208"/>
      <c r="H39" s="208"/>
      <c r="I39" s="208"/>
      <c r="J39" s="208"/>
      <c r="K39" s="208">
        <f t="shared" si="8"/>
        <v>0.33600000000000002</v>
      </c>
      <c r="L39" s="208">
        <f t="shared" si="8"/>
        <v>0.28599999999999998</v>
      </c>
    </row>
    <row r="40" spans="1:12" s="102" customFormat="1" x14ac:dyDescent="0.2">
      <c r="A40" s="203"/>
      <c r="B40" s="204">
        <v>22</v>
      </c>
      <c r="C40" s="205"/>
      <c r="D40" s="205"/>
      <c r="E40" s="205"/>
      <c r="F40" s="205"/>
      <c r="G40" s="205"/>
      <c r="H40" s="205"/>
      <c r="I40" s="205"/>
      <c r="J40" s="205"/>
      <c r="K40" s="205">
        <f t="shared" si="8"/>
        <v>0.29599999999999999</v>
      </c>
      <c r="L40" s="205">
        <f t="shared" si="8"/>
        <v>0.247</v>
      </c>
    </row>
    <row r="41" spans="1:12" s="102" customFormat="1" x14ac:dyDescent="0.2">
      <c r="A41" s="212"/>
      <c r="B41" s="225">
        <v>24</v>
      </c>
      <c r="C41" s="226"/>
      <c r="D41" s="226"/>
      <c r="E41" s="226"/>
      <c r="F41" s="226"/>
      <c r="G41" s="226"/>
      <c r="H41" s="226"/>
      <c r="I41" s="226"/>
      <c r="J41" s="226"/>
      <c r="K41" s="226">
        <f t="shared" si="8"/>
        <v>0.25700000000000001</v>
      </c>
      <c r="L41" s="226">
        <f t="shared" si="8"/>
        <v>0.20699999999999999</v>
      </c>
    </row>
    <row r="42" spans="1:12" s="102" customFormat="1" x14ac:dyDescent="0.2">
      <c r="A42" s="203"/>
      <c r="B42" s="204">
        <v>18</v>
      </c>
      <c r="C42" s="205"/>
      <c r="D42" s="205"/>
      <c r="E42" s="205"/>
      <c r="F42" s="205"/>
      <c r="G42" s="205"/>
      <c r="H42" s="205"/>
      <c r="I42" s="205"/>
      <c r="J42" s="205"/>
      <c r="K42" s="205"/>
      <c r="L42" s="205">
        <f>VLOOKUP(($A$43+L$5)/2-$B42,FAKT_C109,3,-1)</f>
        <v>0.27600000000000002</v>
      </c>
    </row>
    <row r="43" spans="1:12" s="102" customFormat="1" x14ac:dyDescent="0.2">
      <c r="A43" s="203">
        <v>35</v>
      </c>
      <c r="B43" s="207">
        <v>20</v>
      </c>
      <c r="C43" s="208"/>
      <c r="D43" s="208"/>
      <c r="E43" s="208"/>
      <c r="F43" s="208"/>
      <c r="G43" s="208"/>
      <c r="H43" s="208"/>
      <c r="I43" s="208"/>
      <c r="J43" s="208"/>
      <c r="K43" s="208"/>
      <c r="L43" s="208">
        <f>VLOOKUP(($A$43+L$5)/2-$B43,FAKT_C109,3,-1)</f>
        <v>0.23599999999999999</v>
      </c>
    </row>
    <row r="44" spans="1:12" s="102" customFormat="1" x14ac:dyDescent="0.2">
      <c r="A44" s="203"/>
      <c r="B44" s="204">
        <v>22</v>
      </c>
      <c r="C44" s="205"/>
      <c r="D44" s="205"/>
      <c r="E44" s="205"/>
      <c r="F44" s="205"/>
      <c r="G44" s="205"/>
      <c r="H44" s="205"/>
      <c r="I44" s="205"/>
      <c r="J44" s="205"/>
      <c r="K44" s="205"/>
      <c r="L44" s="205">
        <f>VLOOKUP(($A$43+L$5)/2-$B44,FAKT_C109,3,-1)</f>
        <v>0.19700000000000001</v>
      </c>
    </row>
    <row r="45" spans="1:12" s="102" customFormat="1" x14ac:dyDescent="0.2">
      <c r="A45" s="212"/>
      <c r="B45" s="225">
        <v>24</v>
      </c>
      <c r="C45" s="226"/>
      <c r="D45" s="226"/>
      <c r="E45" s="226"/>
      <c r="F45" s="226"/>
      <c r="G45" s="226"/>
      <c r="H45" s="226"/>
      <c r="I45" s="226"/>
      <c r="J45" s="226"/>
      <c r="K45" s="226"/>
      <c r="L45" s="226">
        <f>VLOOKUP(($A$43+L$5)/2-$B45,FAKT_C109,3,-1)</f>
        <v>0.158</v>
      </c>
    </row>
    <row r="47" spans="1:12" x14ac:dyDescent="0.2">
      <c r="A47" s="101" t="str">
        <f>VLOOKUP(54,TXT,$A$1,0)</f>
        <v>tVL = Vorlauftemperatur  [°C]</v>
      </c>
      <c r="F47" s="193" t="str">
        <f>VLOOKUP(55,TXT,$A$1,0)</f>
        <v>ti = Raumlufttemperatur  [°C]</v>
      </c>
      <c r="L47" s="140" t="str">
        <f>VLOOKUP(56,TXT,$A$1,0)</f>
        <v>tRL = Rücklauftemperatur  [°C]</v>
      </c>
    </row>
    <row r="49" spans="1:1" x14ac:dyDescent="0.2">
      <c r="A49" s="101" t="str">
        <f>VLOOKUP(53,TXT,$A$1,0)</f>
        <v>Umrechnungsfaktoren zur Umrechnung der Norm-Wärmeleistung bei Heizmedium 75 / 65 / +20 °C</v>
      </c>
    </row>
    <row r="50" spans="1:1" x14ac:dyDescent="0.2">
      <c r="A50" s="101" t="str">
        <f>VLOOKUP(52,TXT,$A$1,0)</f>
        <v>Allco  FAN-Modell   Höhe 90 mm, 109 mm und 125 mm</v>
      </c>
    </row>
    <row r="51" spans="1:1" x14ac:dyDescent="0.2">
      <c r="A51" s="101" t="str">
        <f>VLOOKUP(29,TXT,$A$1,0)</f>
        <v>Minimale Wassermassenströme von ca. 20 kg/h sollen eingehalten werden</v>
      </c>
    </row>
  </sheetData>
  <pageMargins left="0.51181102362204722" right="0.51181102362204722" top="1.1811023622047245" bottom="0.39370078740157483" header="0.31496062992125984" footer="0.31496062992125984"/>
  <pageSetup paperSize="9" orientation="portrait" r:id="rId1"/>
  <headerFooter>
    <oddHeader>&amp;C&amp;G</oddHeader>
    <oddFooter>&amp;C&amp;G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27086-27C6-4D16-AD8B-4D8CB646803B}">
  <dimension ref="A1:I140"/>
  <sheetViews>
    <sheetView workbookViewId="0">
      <selection activeCell="F3" sqref="F3:G3"/>
    </sheetView>
  </sheetViews>
  <sheetFormatPr baseColWidth="10" defaultRowHeight="12.75" x14ac:dyDescent="0.2"/>
  <cols>
    <col min="1" max="5" width="11.42578125" style="101"/>
    <col min="6" max="6" width="11.42578125" style="101" customWidth="1"/>
    <col min="7" max="16384" width="11.42578125" style="101"/>
  </cols>
  <sheetData>
    <row r="1" spans="1:9" x14ac:dyDescent="0.2">
      <c r="A1" s="101" t="s">
        <v>1414</v>
      </c>
      <c r="B1" s="101" t="s">
        <v>1415</v>
      </c>
      <c r="C1" s="102" t="s">
        <v>1416</v>
      </c>
      <c r="D1" s="101" t="s">
        <v>1417</v>
      </c>
      <c r="E1" s="101" t="s">
        <v>1418</v>
      </c>
      <c r="F1" s="101" t="s">
        <v>1419</v>
      </c>
      <c r="G1" s="101" t="s">
        <v>1420</v>
      </c>
      <c r="H1" s="101" t="s">
        <v>1421</v>
      </c>
      <c r="I1" s="101" t="s">
        <v>1422</v>
      </c>
    </row>
    <row r="2" spans="1:9" x14ac:dyDescent="0.2">
      <c r="A2" s="101">
        <v>1</v>
      </c>
      <c r="B2" s="101">
        <v>5.0000000000000001E-3</v>
      </c>
    </row>
    <row r="3" spans="1:9" x14ac:dyDescent="0.2">
      <c r="A3" s="101">
        <v>1.5</v>
      </c>
      <c r="B3" s="101">
        <v>6.0000000000000001E-3</v>
      </c>
    </row>
    <row r="4" spans="1:9" x14ac:dyDescent="0.2">
      <c r="A4" s="101">
        <v>2</v>
      </c>
      <c r="B4" s="101">
        <v>1.0999999999999999E-2</v>
      </c>
    </row>
    <row r="5" spans="1:9" x14ac:dyDescent="0.2">
      <c r="A5" s="101">
        <v>2.5</v>
      </c>
      <c r="B5" s="101">
        <v>1.6E-2</v>
      </c>
    </row>
    <row r="6" spans="1:9" x14ac:dyDescent="0.2">
      <c r="A6" s="101">
        <v>3</v>
      </c>
      <c r="B6" s="101">
        <v>2.1999999999999999E-2</v>
      </c>
    </row>
    <row r="7" spans="1:9" x14ac:dyDescent="0.2">
      <c r="A7" s="101">
        <v>3.5</v>
      </c>
      <c r="B7" s="101">
        <v>2.7E-2</v>
      </c>
    </row>
    <row r="8" spans="1:9" x14ac:dyDescent="0.2">
      <c r="A8" s="101">
        <v>4</v>
      </c>
      <c r="B8" s="101">
        <v>3.3000000000000002E-2</v>
      </c>
      <c r="H8" s="101">
        <v>0.19</v>
      </c>
      <c r="I8" s="101">
        <v>0.19</v>
      </c>
    </row>
    <row r="9" spans="1:9" x14ac:dyDescent="0.2">
      <c r="A9" s="101">
        <v>4.5</v>
      </c>
      <c r="B9" s="101">
        <v>3.6999999999999998E-2</v>
      </c>
      <c r="H9" s="101">
        <v>0.21</v>
      </c>
      <c r="I9" s="101">
        <v>0.22</v>
      </c>
    </row>
    <row r="10" spans="1:9" x14ac:dyDescent="0.2">
      <c r="A10" s="101">
        <v>5</v>
      </c>
      <c r="B10" s="101">
        <v>4.2999999999999997E-2</v>
      </c>
      <c r="H10" s="101">
        <v>0.23</v>
      </c>
      <c r="I10" s="101">
        <v>0.24</v>
      </c>
    </row>
    <row r="11" spans="1:9" x14ac:dyDescent="0.2">
      <c r="A11" s="101">
        <v>5.5</v>
      </c>
      <c r="B11" s="101">
        <v>4.9000000000000002E-2</v>
      </c>
      <c r="H11" s="101">
        <v>0.25</v>
      </c>
      <c r="I11" s="101">
        <v>0.28000000000000003</v>
      </c>
    </row>
    <row r="12" spans="1:9" x14ac:dyDescent="0.2">
      <c r="A12" s="101">
        <v>6</v>
      </c>
      <c r="B12" s="101">
        <v>5.6000000000000001E-2</v>
      </c>
      <c r="C12" s="101">
        <v>8.5000000000000006E-2</v>
      </c>
      <c r="D12" s="101">
        <v>0.222</v>
      </c>
      <c r="E12" s="101">
        <v>0.35299999999999998</v>
      </c>
      <c r="F12" s="101">
        <v>0.45200000000000001</v>
      </c>
      <c r="G12" s="101">
        <v>0.1</v>
      </c>
      <c r="H12" s="101">
        <v>0.27</v>
      </c>
      <c r="I12" s="101">
        <v>0.3</v>
      </c>
    </row>
    <row r="13" spans="1:9" x14ac:dyDescent="0.2">
      <c r="A13" s="101">
        <v>6.5</v>
      </c>
      <c r="B13" s="101">
        <v>0.06</v>
      </c>
      <c r="C13" s="101">
        <v>0.111</v>
      </c>
      <c r="D13" s="101">
        <v>0.249</v>
      </c>
      <c r="E13" s="101">
        <v>0.38200000000000001</v>
      </c>
      <c r="F13" s="101">
        <v>0.48</v>
      </c>
      <c r="G13" s="101">
        <v>0.111</v>
      </c>
      <c r="H13" s="101">
        <v>0.28999999999999998</v>
      </c>
      <c r="I13" s="101">
        <v>0.33</v>
      </c>
    </row>
    <row r="14" spans="1:9" x14ac:dyDescent="0.2">
      <c r="A14" s="101">
        <v>7</v>
      </c>
      <c r="B14" s="101">
        <v>6.9000000000000006E-2</v>
      </c>
      <c r="C14" s="101">
        <v>0.124</v>
      </c>
      <c r="D14" s="101">
        <v>0.27800000000000002</v>
      </c>
      <c r="E14" s="101">
        <v>0.41199999999999998</v>
      </c>
      <c r="F14" s="101">
        <v>0.50800000000000001</v>
      </c>
      <c r="G14" s="101">
        <v>0.122</v>
      </c>
      <c r="H14" s="101">
        <v>0.31</v>
      </c>
      <c r="I14" s="101">
        <v>0.36</v>
      </c>
    </row>
    <row r="15" spans="1:9" x14ac:dyDescent="0.2">
      <c r="A15" s="101">
        <v>7.5</v>
      </c>
      <c r="B15" s="101">
        <v>7.4999999999999997E-2</v>
      </c>
      <c r="C15" s="101">
        <v>0.13600000000000001</v>
      </c>
      <c r="D15" s="101">
        <v>0.308</v>
      </c>
      <c r="E15" s="101">
        <v>0.442</v>
      </c>
      <c r="F15" s="101">
        <v>0.53500000000000003</v>
      </c>
      <c r="G15" s="101">
        <v>0.13300000000000001</v>
      </c>
      <c r="H15" s="101">
        <v>0.33</v>
      </c>
      <c r="I15" s="101">
        <v>0.39</v>
      </c>
    </row>
    <row r="16" spans="1:9" x14ac:dyDescent="0.2">
      <c r="A16" s="101">
        <v>8</v>
      </c>
      <c r="B16" s="101">
        <v>8.2000000000000003E-2</v>
      </c>
      <c r="C16" s="101">
        <v>0.14699999999999999</v>
      </c>
      <c r="D16" s="101">
        <v>0.33</v>
      </c>
      <c r="E16" s="101">
        <v>0.46800000000000003</v>
      </c>
      <c r="F16" s="101">
        <v>0.56599999999999995</v>
      </c>
      <c r="G16" s="101">
        <v>0.14399999999999999</v>
      </c>
      <c r="H16" s="101">
        <v>0.35</v>
      </c>
      <c r="I16" s="101">
        <v>0.41</v>
      </c>
    </row>
    <row r="17" spans="1:9" x14ac:dyDescent="0.2">
      <c r="A17" s="101">
        <v>8.5</v>
      </c>
      <c r="B17" s="101">
        <v>0.09</v>
      </c>
      <c r="C17" s="101">
        <v>0.158</v>
      </c>
      <c r="D17" s="101">
        <v>0.36799999999999999</v>
      </c>
      <c r="E17" s="101">
        <v>0.498</v>
      </c>
      <c r="F17" s="101">
        <v>0.59</v>
      </c>
      <c r="G17" s="101">
        <v>0.155</v>
      </c>
      <c r="H17" s="101">
        <v>0.37</v>
      </c>
      <c r="I17" s="101">
        <v>0.44</v>
      </c>
    </row>
    <row r="18" spans="1:9" x14ac:dyDescent="0.2">
      <c r="A18" s="101">
        <v>9</v>
      </c>
      <c r="B18" s="101">
        <v>9.7000000000000003E-2</v>
      </c>
      <c r="C18" s="101">
        <v>0.16800000000000001</v>
      </c>
      <c r="D18" s="101">
        <v>0.40500000000000003</v>
      </c>
      <c r="E18" s="101">
        <v>0.52700000000000002</v>
      </c>
      <c r="F18" s="101">
        <v>0.61399999999999999</v>
      </c>
      <c r="G18" s="101">
        <v>0.16700000000000001</v>
      </c>
      <c r="H18" s="101">
        <v>0.39</v>
      </c>
      <c r="I18" s="101">
        <v>0.47</v>
      </c>
    </row>
    <row r="19" spans="1:9" x14ac:dyDescent="0.2">
      <c r="A19" s="101">
        <v>9.5</v>
      </c>
      <c r="B19" s="101">
        <v>0.104</v>
      </c>
      <c r="C19" s="101">
        <v>0.17799999999999999</v>
      </c>
      <c r="D19" s="101">
        <v>0.442</v>
      </c>
      <c r="E19" s="101">
        <v>0.55700000000000005</v>
      </c>
      <c r="F19" s="101">
        <v>0.63800000000000001</v>
      </c>
      <c r="G19" s="101">
        <v>0.17799999999999999</v>
      </c>
      <c r="H19" s="101">
        <v>0.41</v>
      </c>
      <c r="I19" s="101">
        <v>0.49</v>
      </c>
    </row>
    <row r="20" spans="1:9" x14ac:dyDescent="0.2">
      <c r="A20" s="101">
        <v>10</v>
      </c>
      <c r="B20" s="101">
        <v>0.112</v>
      </c>
      <c r="C20" s="101">
        <v>0.188</v>
      </c>
      <c r="D20" s="101">
        <v>0.47899999999999998</v>
      </c>
      <c r="E20" s="101">
        <v>0.58599999999999997</v>
      </c>
      <c r="F20" s="101">
        <v>0.66200000000000003</v>
      </c>
      <c r="G20" s="101">
        <v>0.189</v>
      </c>
      <c r="H20" s="101">
        <v>0.43</v>
      </c>
      <c r="I20" s="101">
        <v>0.52</v>
      </c>
    </row>
    <row r="21" spans="1:9" x14ac:dyDescent="0.2">
      <c r="A21" s="101">
        <v>10.5</v>
      </c>
      <c r="B21" s="101">
        <v>0.11549999999999999</v>
      </c>
      <c r="C21" s="101">
        <v>0.19700000000000001</v>
      </c>
      <c r="D21" s="101">
        <v>0.51700000000000002</v>
      </c>
      <c r="E21" s="101">
        <v>0.61599999999999999</v>
      </c>
      <c r="F21" s="101">
        <v>0.68600000000000005</v>
      </c>
      <c r="G21" s="101">
        <v>0.2</v>
      </c>
      <c r="H21" s="101">
        <v>0.45</v>
      </c>
      <c r="I21" s="101">
        <v>0.54</v>
      </c>
    </row>
    <row r="22" spans="1:9" x14ac:dyDescent="0.2">
      <c r="A22" s="101">
        <v>11</v>
      </c>
      <c r="B22" s="101">
        <v>0.11899999999999999</v>
      </c>
      <c r="C22" s="101">
        <v>0.20699999999999999</v>
      </c>
      <c r="D22" s="101">
        <v>0.55400000000000005</v>
      </c>
      <c r="E22" s="101">
        <v>0.64500000000000002</v>
      </c>
      <c r="F22" s="101">
        <v>0.71</v>
      </c>
      <c r="G22" s="101">
        <v>0.21099999999999999</v>
      </c>
      <c r="H22" s="101">
        <v>0.47</v>
      </c>
      <c r="I22" s="101">
        <v>0.56000000000000005</v>
      </c>
    </row>
    <row r="23" spans="1:9" x14ac:dyDescent="0.2">
      <c r="A23" s="101">
        <v>11.5</v>
      </c>
      <c r="B23" s="101">
        <v>0.123</v>
      </c>
      <c r="C23" s="101">
        <v>0.217</v>
      </c>
      <c r="D23" s="101">
        <v>0.59099999999999997</v>
      </c>
      <c r="E23" s="101">
        <v>0.67500000000000004</v>
      </c>
      <c r="F23" s="101">
        <v>0.73499999999999999</v>
      </c>
      <c r="G23" s="101">
        <v>0.222</v>
      </c>
      <c r="H23" s="101">
        <v>0.49</v>
      </c>
      <c r="I23" s="101">
        <v>0.57999999999999996</v>
      </c>
    </row>
    <row r="24" spans="1:9" x14ac:dyDescent="0.2">
      <c r="A24" s="101">
        <v>12</v>
      </c>
      <c r="B24" s="101">
        <v>0.127</v>
      </c>
      <c r="C24" s="101">
        <v>0.22600000000000001</v>
      </c>
      <c r="D24" s="101">
        <v>0.628</v>
      </c>
      <c r="E24" s="101">
        <v>0.70399999999999996</v>
      </c>
      <c r="F24" s="101">
        <v>0.75900000000000001</v>
      </c>
      <c r="G24" s="101">
        <v>0.23200000000000001</v>
      </c>
      <c r="H24" s="101">
        <v>0.51</v>
      </c>
      <c r="I24" s="101">
        <v>0.6</v>
      </c>
    </row>
    <row r="25" spans="1:9" x14ac:dyDescent="0.2">
      <c r="A25" s="101">
        <v>12.5</v>
      </c>
      <c r="B25" s="101">
        <v>0.1305</v>
      </c>
      <c r="C25" s="101">
        <v>0.23599999999999999</v>
      </c>
      <c r="D25" s="101">
        <v>0.66500000000000004</v>
      </c>
      <c r="E25" s="101">
        <v>0.73399999999999999</v>
      </c>
      <c r="F25" s="101">
        <v>0.78300000000000003</v>
      </c>
      <c r="G25" s="101">
        <v>0.24299999999999999</v>
      </c>
      <c r="H25" s="101">
        <v>0.55000000000000004</v>
      </c>
      <c r="I25" s="101">
        <v>0.63</v>
      </c>
    </row>
    <row r="26" spans="1:9" x14ac:dyDescent="0.2">
      <c r="A26" s="101">
        <v>13</v>
      </c>
      <c r="B26" s="101">
        <v>0.13400000000000001</v>
      </c>
      <c r="C26" s="101">
        <v>0.247</v>
      </c>
      <c r="D26" s="101">
        <v>0.70199999999999996</v>
      </c>
      <c r="E26" s="101">
        <v>0.76400000000000001</v>
      </c>
      <c r="F26" s="101">
        <v>0.80700000000000005</v>
      </c>
      <c r="G26" s="101">
        <v>0.254</v>
      </c>
      <c r="H26" s="101">
        <v>0.57999999999999996</v>
      </c>
      <c r="I26" s="101">
        <v>0.65</v>
      </c>
    </row>
    <row r="27" spans="1:9" x14ac:dyDescent="0.2">
      <c r="A27" s="101">
        <v>13.5</v>
      </c>
      <c r="B27" s="101">
        <v>0.13800000000000001</v>
      </c>
      <c r="C27" s="101">
        <v>0.25700000000000001</v>
      </c>
      <c r="D27" s="101">
        <v>0.74</v>
      </c>
      <c r="E27" s="101">
        <v>0.79400000000000004</v>
      </c>
      <c r="F27" s="101">
        <v>0.83099999999999996</v>
      </c>
      <c r="G27" s="101">
        <v>0.26500000000000001</v>
      </c>
      <c r="H27" s="101">
        <v>0.6</v>
      </c>
      <c r="I27" s="101">
        <v>0.66</v>
      </c>
    </row>
    <row r="28" spans="1:9" x14ac:dyDescent="0.2">
      <c r="A28" s="101">
        <v>14</v>
      </c>
      <c r="B28" s="101">
        <v>0.14199999999999999</v>
      </c>
      <c r="C28" s="101">
        <v>0.26600000000000001</v>
      </c>
      <c r="D28" s="101">
        <v>0.77700000000000002</v>
      </c>
      <c r="E28" s="101">
        <v>0.82299999999999995</v>
      </c>
      <c r="F28" s="101">
        <v>0.85499999999999998</v>
      </c>
      <c r="G28" s="101">
        <v>0.27500000000000002</v>
      </c>
      <c r="H28" s="101">
        <v>0.62</v>
      </c>
      <c r="I28" s="101">
        <v>0.68</v>
      </c>
    </row>
    <row r="29" spans="1:9" x14ac:dyDescent="0.2">
      <c r="A29" s="101">
        <v>14.5</v>
      </c>
      <c r="B29" s="101">
        <v>0.14549999999999999</v>
      </c>
      <c r="C29" s="101">
        <v>0.27600000000000002</v>
      </c>
      <c r="D29" s="101">
        <v>0.81399999999999995</v>
      </c>
      <c r="E29" s="101">
        <v>0.85299999999999998</v>
      </c>
      <c r="F29" s="101">
        <v>0.879</v>
      </c>
      <c r="G29" s="101">
        <v>0.28599999999999998</v>
      </c>
      <c r="H29" s="101">
        <v>0.69</v>
      </c>
      <c r="I29" s="101">
        <v>0.71</v>
      </c>
    </row>
    <row r="30" spans="1:9" x14ac:dyDescent="0.2">
      <c r="A30" s="101">
        <v>15</v>
      </c>
      <c r="B30" s="101">
        <v>0.14899999999999999</v>
      </c>
      <c r="C30" s="101">
        <v>0.28599999999999998</v>
      </c>
      <c r="D30" s="101">
        <v>0.85099999999999998</v>
      </c>
      <c r="E30" s="101">
        <v>0.88200000000000001</v>
      </c>
      <c r="F30" s="101">
        <v>0.90300000000000002</v>
      </c>
      <c r="G30" s="101">
        <v>0.29699999999999999</v>
      </c>
      <c r="H30" s="101">
        <v>0.8</v>
      </c>
      <c r="I30" s="101">
        <v>0.74</v>
      </c>
    </row>
    <row r="31" spans="1:9" x14ac:dyDescent="0.2">
      <c r="A31" s="101">
        <v>15.5</v>
      </c>
      <c r="B31" s="101">
        <v>0.158</v>
      </c>
      <c r="C31" s="101">
        <v>0.29599999999999999</v>
      </c>
      <c r="D31" s="101">
        <v>0.88900000000000001</v>
      </c>
      <c r="E31" s="101">
        <v>0.91200000000000003</v>
      </c>
      <c r="F31" s="101">
        <v>0.92800000000000005</v>
      </c>
      <c r="G31" s="101">
        <v>0.307</v>
      </c>
      <c r="H31" s="101">
        <v>0.81</v>
      </c>
      <c r="I31" s="101">
        <v>0.78</v>
      </c>
    </row>
    <row r="32" spans="1:9" x14ac:dyDescent="0.2">
      <c r="A32" s="101">
        <v>16</v>
      </c>
      <c r="B32" s="101">
        <v>0.16700000000000001</v>
      </c>
      <c r="C32" s="101">
        <v>0.30599999999999999</v>
      </c>
      <c r="D32" s="101">
        <v>0.92600000000000005</v>
      </c>
      <c r="E32" s="101">
        <v>0.94099999999999995</v>
      </c>
      <c r="F32" s="101">
        <v>0.95199999999999996</v>
      </c>
      <c r="G32" s="101">
        <v>0.317</v>
      </c>
      <c r="H32" s="101">
        <v>0.82</v>
      </c>
      <c r="I32" s="101">
        <v>0.81</v>
      </c>
    </row>
    <row r="33" spans="1:9" x14ac:dyDescent="0.2">
      <c r="A33" s="101">
        <v>16.5</v>
      </c>
      <c r="B33" s="101">
        <v>0.17599999999999999</v>
      </c>
      <c r="C33" s="101">
        <v>0.315</v>
      </c>
      <c r="D33" s="101">
        <v>0.96299999999999997</v>
      </c>
      <c r="E33" s="101">
        <v>0.97099999999999997</v>
      </c>
      <c r="F33" s="101">
        <v>0.97599999999999998</v>
      </c>
      <c r="G33" s="101">
        <v>0.32700000000000001</v>
      </c>
      <c r="H33" s="101">
        <v>0.87</v>
      </c>
      <c r="I33" s="101">
        <v>0.86</v>
      </c>
    </row>
    <row r="34" spans="1:9" x14ac:dyDescent="0.2">
      <c r="A34" s="101">
        <v>17</v>
      </c>
      <c r="B34" s="101">
        <v>0.185</v>
      </c>
      <c r="C34" s="101">
        <v>0.32600000000000001</v>
      </c>
      <c r="D34" s="101">
        <v>1</v>
      </c>
      <c r="E34" s="101">
        <v>1</v>
      </c>
      <c r="F34" s="101">
        <v>1</v>
      </c>
      <c r="G34" s="101">
        <v>0.33600000000000002</v>
      </c>
      <c r="H34" s="101">
        <v>0.91</v>
      </c>
      <c r="I34" s="101">
        <v>0.91</v>
      </c>
    </row>
    <row r="35" spans="1:9" x14ac:dyDescent="0.2">
      <c r="A35" s="101">
        <v>17.5</v>
      </c>
      <c r="B35" s="101">
        <v>0.19400000000000001</v>
      </c>
      <c r="C35" s="101">
        <v>0.33600000000000002</v>
      </c>
      <c r="G35" s="101">
        <v>0.34599999999999997</v>
      </c>
      <c r="H35" s="101">
        <v>0.96</v>
      </c>
      <c r="I35" s="101">
        <v>0.96</v>
      </c>
    </row>
    <row r="36" spans="1:9" x14ac:dyDescent="0.2">
      <c r="A36" s="101">
        <v>18</v>
      </c>
      <c r="B36" s="101">
        <v>0.20300000000000001</v>
      </c>
      <c r="C36" s="101">
        <v>0.34599999999999997</v>
      </c>
      <c r="G36" s="101">
        <v>0.35599999999999998</v>
      </c>
      <c r="H36" s="101">
        <v>1</v>
      </c>
      <c r="I36" s="101">
        <v>1</v>
      </c>
    </row>
    <row r="37" spans="1:9" x14ac:dyDescent="0.2">
      <c r="A37" s="101">
        <v>18.5</v>
      </c>
      <c r="B37" s="101">
        <v>0.21200000000000002</v>
      </c>
      <c r="C37" s="101">
        <v>0.35499999999999998</v>
      </c>
      <c r="G37" s="101">
        <v>0.36599999999999999</v>
      </c>
    </row>
    <row r="38" spans="1:9" x14ac:dyDescent="0.2">
      <c r="A38" s="101">
        <v>19</v>
      </c>
      <c r="B38" s="101">
        <v>0.221</v>
      </c>
      <c r="C38" s="101">
        <v>0.36499999999999999</v>
      </c>
      <c r="G38" s="101">
        <v>0.375</v>
      </c>
    </row>
    <row r="39" spans="1:9" x14ac:dyDescent="0.2">
      <c r="A39" s="101">
        <v>19.5</v>
      </c>
      <c r="B39" s="101">
        <v>0.23</v>
      </c>
      <c r="C39" s="101">
        <v>0.375</v>
      </c>
      <c r="G39" s="101">
        <v>0.38500000000000001</v>
      </c>
    </row>
    <row r="40" spans="1:9" x14ac:dyDescent="0.2">
      <c r="A40" s="101">
        <v>20</v>
      </c>
      <c r="B40" s="101">
        <v>0.23899999999999999</v>
      </c>
      <c r="C40" s="101">
        <v>0.38600000000000001</v>
      </c>
      <c r="G40" s="101">
        <v>0.39500000000000002</v>
      </c>
    </row>
    <row r="41" spans="1:9" x14ac:dyDescent="0.2">
      <c r="A41" s="101">
        <v>20.5</v>
      </c>
      <c r="B41" s="101">
        <v>0.2485</v>
      </c>
      <c r="C41" s="101">
        <v>0.39500000000000002</v>
      </c>
      <c r="G41" s="101">
        <v>0.40500000000000003</v>
      </c>
    </row>
    <row r="42" spans="1:9" x14ac:dyDescent="0.2">
      <c r="A42" s="101">
        <v>21</v>
      </c>
      <c r="B42" s="101">
        <v>0.25800000000000001</v>
      </c>
      <c r="C42" s="101">
        <v>0.40600000000000003</v>
      </c>
      <c r="G42" s="101">
        <v>0.41499999999999998</v>
      </c>
    </row>
    <row r="43" spans="1:9" x14ac:dyDescent="0.2">
      <c r="A43" s="101">
        <v>21.5</v>
      </c>
      <c r="B43" s="101">
        <v>0.26750000000000002</v>
      </c>
      <c r="C43" s="101">
        <v>0.41599999999999998</v>
      </c>
      <c r="G43" s="101">
        <v>0.42499999999999999</v>
      </c>
    </row>
    <row r="44" spans="1:9" x14ac:dyDescent="0.2">
      <c r="A44" s="101">
        <v>22</v>
      </c>
      <c r="B44" s="101">
        <v>0.27700000000000002</v>
      </c>
      <c r="C44" s="101">
        <v>0.42599999999999999</v>
      </c>
      <c r="G44" s="101">
        <v>0.434</v>
      </c>
    </row>
    <row r="45" spans="1:9" x14ac:dyDescent="0.2">
      <c r="A45" s="101">
        <v>22.5</v>
      </c>
      <c r="B45" s="101">
        <v>0.28649999999999998</v>
      </c>
      <c r="C45" s="101">
        <v>0.435</v>
      </c>
      <c r="G45" s="101">
        <v>0.44400000000000001</v>
      </c>
    </row>
    <row r="46" spans="1:9" x14ac:dyDescent="0.2">
      <c r="A46" s="101">
        <v>23</v>
      </c>
      <c r="B46" s="101">
        <v>0.29599999999999999</v>
      </c>
      <c r="C46" s="101">
        <v>0.44600000000000001</v>
      </c>
      <c r="G46" s="101">
        <v>0.45400000000000001</v>
      </c>
    </row>
    <row r="47" spans="1:9" x14ac:dyDescent="0.2">
      <c r="A47" s="101">
        <v>23.5</v>
      </c>
      <c r="B47" s="101">
        <v>0.30549999999999999</v>
      </c>
      <c r="C47" s="101">
        <v>0.45600000000000002</v>
      </c>
      <c r="G47" s="101">
        <v>0.46400000000000002</v>
      </c>
    </row>
    <row r="48" spans="1:9" x14ac:dyDescent="0.2">
      <c r="A48" s="101">
        <v>24</v>
      </c>
      <c r="B48" s="101">
        <v>0.315</v>
      </c>
      <c r="C48" s="101">
        <v>0.46700000000000003</v>
      </c>
      <c r="G48" s="101">
        <v>0.47299999999999998</v>
      </c>
    </row>
    <row r="49" spans="1:7" x14ac:dyDescent="0.2">
      <c r="A49" s="101">
        <v>24.5</v>
      </c>
      <c r="B49" s="101">
        <v>0.32450000000000001</v>
      </c>
      <c r="C49" s="101">
        <v>0.47599999999999998</v>
      </c>
      <c r="G49" s="101">
        <v>0.48299999999999998</v>
      </c>
    </row>
    <row r="50" spans="1:7" x14ac:dyDescent="0.2">
      <c r="A50" s="101">
        <v>25</v>
      </c>
      <c r="B50" s="101">
        <v>0.33400000000000002</v>
      </c>
      <c r="C50" s="101">
        <v>0.48599999999999999</v>
      </c>
      <c r="G50" s="101">
        <v>0.49299999999999999</v>
      </c>
    </row>
    <row r="51" spans="1:7" x14ac:dyDescent="0.2">
      <c r="A51" s="101">
        <v>25.5</v>
      </c>
      <c r="B51" s="101">
        <v>0.34499999999999997</v>
      </c>
      <c r="C51" s="101">
        <v>0.496</v>
      </c>
      <c r="G51" s="101">
        <v>0.504</v>
      </c>
    </row>
    <row r="52" spans="1:7" x14ac:dyDescent="0.2">
      <c r="A52" s="101">
        <v>26</v>
      </c>
      <c r="B52" s="101">
        <v>0.35599999999999998</v>
      </c>
      <c r="C52" s="101">
        <v>0.50700000000000001</v>
      </c>
      <c r="G52" s="101">
        <v>0.51400000000000001</v>
      </c>
    </row>
    <row r="53" spans="1:7" x14ac:dyDescent="0.2">
      <c r="A53" s="101">
        <v>26.5</v>
      </c>
      <c r="B53" s="101">
        <v>0.36699999999999999</v>
      </c>
      <c r="C53" s="101">
        <v>0.51600000000000001</v>
      </c>
      <c r="G53" s="101">
        <v>0.52400000000000002</v>
      </c>
    </row>
    <row r="54" spans="1:7" x14ac:dyDescent="0.2">
      <c r="A54" s="101">
        <v>27</v>
      </c>
      <c r="B54" s="101">
        <v>0.378</v>
      </c>
      <c r="C54" s="101">
        <v>0.52700000000000002</v>
      </c>
      <c r="G54" s="101">
        <v>0.53400000000000003</v>
      </c>
    </row>
    <row r="55" spans="1:7" x14ac:dyDescent="0.2">
      <c r="A55" s="101">
        <v>27.5</v>
      </c>
      <c r="B55" s="101">
        <v>0.38950000000000001</v>
      </c>
      <c r="C55" s="101">
        <v>0.53700000000000003</v>
      </c>
      <c r="G55" s="101">
        <v>0.54500000000000004</v>
      </c>
    </row>
    <row r="56" spans="1:7" x14ac:dyDescent="0.2">
      <c r="A56" s="101">
        <v>28</v>
      </c>
      <c r="B56" s="101">
        <v>0.40100000000000002</v>
      </c>
      <c r="C56" s="101">
        <v>0.54700000000000004</v>
      </c>
      <c r="G56" s="101">
        <v>0.55500000000000005</v>
      </c>
    </row>
    <row r="57" spans="1:7" x14ac:dyDescent="0.2">
      <c r="A57" s="101">
        <v>28.5</v>
      </c>
      <c r="B57" s="101">
        <v>0.41200000000000003</v>
      </c>
      <c r="C57" s="101">
        <v>0.55700000000000005</v>
      </c>
      <c r="G57" s="101">
        <v>0.56499999999999995</v>
      </c>
    </row>
    <row r="58" spans="1:7" x14ac:dyDescent="0.2">
      <c r="A58" s="101">
        <v>29</v>
      </c>
      <c r="B58" s="101">
        <v>0.42299999999999999</v>
      </c>
      <c r="C58" s="101">
        <v>0.56799999999999995</v>
      </c>
      <c r="G58" s="101">
        <v>0.57499999999999996</v>
      </c>
    </row>
    <row r="59" spans="1:7" x14ac:dyDescent="0.2">
      <c r="A59" s="101">
        <v>29.5</v>
      </c>
      <c r="B59" s="101">
        <v>0.434</v>
      </c>
      <c r="C59" s="101">
        <v>0.57799999999999996</v>
      </c>
      <c r="G59" s="101">
        <v>0.58599999999999997</v>
      </c>
    </row>
    <row r="60" spans="1:7" x14ac:dyDescent="0.2">
      <c r="A60" s="101">
        <v>30</v>
      </c>
      <c r="B60" s="101">
        <v>0.44500000000000001</v>
      </c>
      <c r="C60" s="101">
        <v>0.58799999999999997</v>
      </c>
      <c r="G60" s="101">
        <v>0.59599999999999997</v>
      </c>
    </row>
    <row r="61" spans="1:7" x14ac:dyDescent="0.2">
      <c r="A61" s="101">
        <v>30.5</v>
      </c>
      <c r="B61" s="101">
        <v>0.45850000000000002</v>
      </c>
      <c r="C61" s="101">
        <v>0.59799999999999998</v>
      </c>
      <c r="G61" s="101">
        <v>0.60799999999999998</v>
      </c>
    </row>
    <row r="62" spans="1:7" x14ac:dyDescent="0.2">
      <c r="A62" s="101">
        <v>31</v>
      </c>
      <c r="B62" s="101">
        <v>0.47199999999999998</v>
      </c>
      <c r="C62" s="101">
        <v>0.60899999999999999</v>
      </c>
      <c r="G62" s="101">
        <v>0.61899999999999999</v>
      </c>
    </row>
    <row r="63" spans="1:7" x14ac:dyDescent="0.2">
      <c r="A63" s="101">
        <v>31.5</v>
      </c>
      <c r="B63" s="101">
        <v>0.48499999999999999</v>
      </c>
      <c r="C63" s="101">
        <v>0.61799999999999999</v>
      </c>
      <c r="G63" s="101">
        <v>0.63100000000000001</v>
      </c>
    </row>
    <row r="64" spans="1:7" x14ac:dyDescent="0.2">
      <c r="A64" s="101">
        <v>32</v>
      </c>
      <c r="B64" s="101">
        <v>0.498</v>
      </c>
      <c r="C64" s="101">
        <v>0.628</v>
      </c>
      <c r="G64" s="101">
        <v>0.64200000000000002</v>
      </c>
    </row>
    <row r="65" spans="1:7" x14ac:dyDescent="0.2">
      <c r="A65" s="101">
        <v>32.5</v>
      </c>
      <c r="B65" s="101">
        <v>0.51150000000000007</v>
      </c>
      <c r="C65" s="101">
        <v>0.63900000000000001</v>
      </c>
      <c r="G65" s="101">
        <v>0.65300000000000002</v>
      </c>
    </row>
    <row r="66" spans="1:7" x14ac:dyDescent="0.2">
      <c r="A66" s="101">
        <v>33</v>
      </c>
      <c r="B66" s="101">
        <v>0.52500000000000002</v>
      </c>
      <c r="C66" s="101">
        <v>0.65</v>
      </c>
      <c r="G66" s="101">
        <v>0.66400000000000003</v>
      </c>
    </row>
    <row r="67" spans="1:7" x14ac:dyDescent="0.2">
      <c r="A67" s="101">
        <v>33.5</v>
      </c>
      <c r="B67" s="101">
        <v>0.53800000000000003</v>
      </c>
      <c r="C67" s="101">
        <v>0.65900000000000003</v>
      </c>
      <c r="G67" s="101">
        <v>0.67600000000000005</v>
      </c>
    </row>
    <row r="68" spans="1:7" x14ac:dyDescent="0.2">
      <c r="A68" s="101">
        <v>34</v>
      </c>
      <c r="B68" s="101">
        <v>0.55100000000000005</v>
      </c>
      <c r="C68" s="101">
        <v>0.67</v>
      </c>
      <c r="G68" s="101">
        <v>0.68700000000000006</v>
      </c>
    </row>
    <row r="69" spans="1:7" x14ac:dyDescent="0.2">
      <c r="A69" s="101">
        <v>34.5</v>
      </c>
      <c r="B69" s="101">
        <v>0.5645</v>
      </c>
      <c r="C69" s="101">
        <v>0.68</v>
      </c>
      <c r="G69" s="101">
        <v>0.69899999999999995</v>
      </c>
    </row>
    <row r="70" spans="1:7" x14ac:dyDescent="0.2">
      <c r="A70" s="101">
        <v>35</v>
      </c>
      <c r="B70" s="101">
        <v>0.57799999999999996</v>
      </c>
      <c r="C70" s="101">
        <v>0.69</v>
      </c>
      <c r="G70" s="101">
        <v>0.71</v>
      </c>
    </row>
    <row r="71" spans="1:7" x14ac:dyDescent="0.2">
      <c r="A71" s="101">
        <v>35.5</v>
      </c>
      <c r="B71" s="101">
        <v>0.59149999999999991</v>
      </c>
      <c r="C71" s="101">
        <v>0.7</v>
      </c>
      <c r="G71" s="101">
        <v>0.72099999999999997</v>
      </c>
    </row>
    <row r="72" spans="1:7" x14ac:dyDescent="0.2">
      <c r="A72" s="101">
        <v>36</v>
      </c>
      <c r="B72" s="101">
        <v>0.60499999999999998</v>
      </c>
      <c r="C72" s="101">
        <v>0.71099999999999997</v>
      </c>
      <c r="G72" s="101">
        <v>0.73199999999999998</v>
      </c>
    </row>
    <row r="73" spans="1:7" x14ac:dyDescent="0.2">
      <c r="A73" s="101">
        <v>36.5</v>
      </c>
      <c r="B73" s="101">
        <v>0.61799999999999999</v>
      </c>
      <c r="C73" s="101">
        <v>0.72099999999999997</v>
      </c>
      <c r="G73" s="101">
        <v>0.74299999999999999</v>
      </c>
    </row>
    <row r="74" spans="1:7" x14ac:dyDescent="0.2">
      <c r="A74" s="101">
        <v>37</v>
      </c>
      <c r="B74" s="101">
        <v>0.63100000000000001</v>
      </c>
      <c r="C74" s="101">
        <v>0.73099999999999998</v>
      </c>
      <c r="G74" s="101">
        <v>0.754</v>
      </c>
    </row>
    <row r="75" spans="1:7" x14ac:dyDescent="0.2">
      <c r="A75" s="101">
        <v>37.5</v>
      </c>
      <c r="B75" s="101">
        <v>0.64450000000000007</v>
      </c>
      <c r="C75" s="101">
        <v>0.74099999999999999</v>
      </c>
      <c r="G75" s="101">
        <v>0.76500000000000001</v>
      </c>
    </row>
    <row r="76" spans="1:7" x14ac:dyDescent="0.2">
      <c r="A76" s="101">
        <v>38</v>
      </c>
      <c r="B76" s="101">
        <v>0.65800000000000003</v>
      </c>
      <c r="C76" s="101">
        <v>0.752</v>
      </c>
      <c r="G76" s="101">
        <v>0.77600000000000002</v>
      </c>
    </row>
    <row r="77" spans="1:7" x14ac:dyDescent="0.2">
      <c r="A77" s="101">
        <v>38.5</v>
      </c>
      <c r="B77" s="101">
        <v>0.67100000000000004</v>
      </c>
      <c r="C77" s="101">
        <v>0.76200000000000001</v>
      </c>
      <c r="G77" s="101">
        <v>0.78700000000000003</v>
      </c>
    </row>
    <row r="78" spans="1:7" x14ac:dyDescent="0.2">
      <c r="A78" s="101">
        <v>39</v>
      </c>
      <c r="B78" s="101">
        <v>0.68400000000000005</v>
      </c>
      <c r="C78" s="101">
        <v>0.77300000000000002</v>
      </c>
      <c r="G78" s="101">
        <v>0.79800000000000004</v>
      </c>
    </row>
    <row r="79" spans="1:7" x14ac:dyDescent="0.2">
      <c r="A79" s="101">
        <v>39.5</v>
      </c>
      <c r="B79" s="101">
        <v>0.69750000000000001</v>
      </c>
      <c r="C79" s="101">
        <v>0.78300000000000003</v>
      </c>
      <c r="G79" s="101">
        <v>0.80900000000000005</v>
      </c>
    </row>
    <row r="80" spans="1:7" x14ac:dyDescent="0.2">
      <c r="A80" s="101">
        <v>40</v>
      </c>
      <c r="B80" s="101">
        <v>0.71099999999999997</v>
      </c>
      <c r="C80" s="101">
        <v>0.79200000000000004</v>
      </c>
      <c r="G80" s="101">
        <v>0.82</v>
      </c>
    </row>
    <row r="81" spans="1:7" x14ac:dyDescent="0.2">
      <c r="A81" s="101">
        <v>40.5</v>
      </c>
      <c r="B81" s="101">
        <v>0.72449999999999992</v>
      </c>
      <c r="C81" s="101">
        <v>0.80300000000000005</v>
      </c>
      <c r="G81" s="101">
        <v>0.83099999999999996</v>
      </c>
    </row>
    <row r="82" spans="1:7" x14ac:dyDescent="0.2">
      <c r="A82" s="101">
        <v>41</v>
      </c>
      <c r="B82" s="101">
        <v>0.73799999999999999</v>
      </c>
      <c r="C82" s="101">
        <v>0.81399999999999995</v>
      </c>
      <c r="G82" s="101">
        <v>0.84199999999999997</v>
      </c>
    </row>
    <row r="83" spans="1:7" x14ac:dyDescent="0.2">
      <c r="A83" s="101">
        <v>41.5</v>
      </c>
      <c r="B83" s="101">
        <v>0.751</v>
      </c>
      <c r="C83" s="101">
        <v>0.82399999999999995</v>
      </c>
      <c r="G83" s="101">
        <v>0.85299999999999998</v>
      </c>
    </row>
    <row r="84" spans="1:7" x14ac:dyDescent="0.2">
      <c r="A84" s="101">
        <v>42</v>
      </c>
      <c r="B84" s="101">
        <v>0.76400000000000001</v>
      </c>
      <c r="C84" s="101">
        <v>0.83399999999999996</v>
      </c>
      <c r="G84" s="101">
        <v>0.86399999999999999</v>
      </c>
    </row>
    <row r="85" spans="1:7" x14ac:dyDescent="0.2">
      <c r="A85" s="101">
        <v>42.5</v>
      </c>
      <c r="B85" s="101">
        <v>0.77749999999999997</v>
      </c>
      <c r="C85" s="101">
        <v>0.84499999999999997</v>
      </c>
      <c r="G85" s="101">
        <v>0.875</v>
      </c>
    </row>
    <row r="86" spans="1:7" x14ac:dyDescent="0.2">
      <c r="A86" s="101">
        <v>43</v>
      </c>
      <c r="B86" s="101">
        <v>0.79100000000000004</v>
      </c>
      <c r="C86" s="101">
        <v>0.85499999999999998</v>
      </c>
      <c r="G86" s="101">
        <v>0.88600000000000001</v>
      </c>
    </row>
    <row r="87" spans="1:7" x14ac:dyDescent="0.2">
      <c r="A87" s="101">
        <v>43.5</v>
      </c>
      <c r="B87" s="101">
        <v>0.80400000000000005</v>
      </c>
      <c r="C87" s="101">
        <v>0.86499999999999999</v>
      </c>
      <c r="G87" s="101">
        <v>0.89700000000000002</v>
      </c>
    </row>
    <row r="88" spans="1:7" x14ac:dyDescent="0.2">
      <c r="A88" s="101">
        <v>44</v>
      </c>
      <c r="B88" s="101">
        <v>0.81699999999999995</v>
      </c>
      <c r="C88" s="101">
        <v>0.876</v>
      </c>
      <c r="G88" s="101">
        <v>0.90800000000000003</v>
      </c>
    </row>
    <row r="89" spans="1:7" x14ac:dyDescent="0.2">
      <c r="A89" s="101">
        <v>44.5</v>
      </c>
      <c r="B89" s="101">
        <v>0.83050000000000002</v>
      </c>
      <c r="C89" s="101">
        <v>0.88600000000000001</v>
      </c>
      <c r="G89" s="101">
        <v>0.91900000000000004</v>
      </c>
    </row>
    <row r="90" spans="1:7" x14ac:dyDescent="0.2">
      <c r="A90" s="101">
        <v>45</v>
      </c>
      <c r="B90" s="101">
        <v>0.84399999999999997</v>
      </c>
      <c r="C90" s="101">
        <v>0.89600000000000002</v>
      </c>
      <c r="G90" s="101">
        <v>0.93</v>
      </c>
    </row>
    <row r="91" spans="1:7" x14ac:dyDescent="0.2">
      <c r="A91" s="101">
        <v>45.5</v>
      </c>
      <c r="B91" s="101">
        <v>0.85750000000000004</v>
      </c>
      <c r="C91" s="101">
        <v>0.90600000000000003</v>
      </c>
      <c r="G91" s="101">
        <v>0.93700000000000006</v>
      </c>
    </row>
    <row r="92" spans="1:7" x14ac:dyDescent="0.2">
      <c r="A92" s="101">
        <v>46</v>
      </c>
      <c r="B92" s="101">
        <v>0.871</v>
      </c>
      <c r="C92" s="101">
        <v>0.91700000000000004</v>
      </c>
      <c r="G92" s="101">
        <v>0.94399999999999995</v>
      </c>
    </row>
    <row r="93" spans="1:7" x14ac:dyDescent="0.2">
      <c r="A93" s="101">
        <v>46.5</v>
      </c>
      <c r="B93" s="101">
        <v>0.88400000000000001</v>
      </c>
      <c r="C93" s="101">
        <v>0.92700000000000005</v>
      </c>
      <c r="G93" s="101">
        <v>0.95099999999999996</v>
      </c>
    </row>
    <row r="94" spans="1:7" x14ac:dyDescent="0.2">
      <c r="A94" s="101">
        <v>47</v>
      </c>
      <c r="B94" s="101">
        <v>0.89700000000000002</v>
      </c>
      <c r="C94" s="101">
        <v>0.93799999999999994</v>
      </c>
      <c r="G94" s="101">
        <v>0.95799999999999996</v>
      </c>
    </row>
    <row r="95" spans="1:7" x14ac:dyDescent="0.2">
      <c r="A95" s="101">
        <v>47.5</v>
      </c>
      <c r="B95" s="101">
        <v>0.91050000000000009</v>
      </c>
      <c r="C95" s="101">
        <v>0.94799999999999995</v>
      </c>
      <c r="G95" s="101">
        <v>0.96499999999999997</v>
      </c>
    </row>
    <row r="96" spans="1:7" x14ac:dyDescent="0.2">
      <c r="A96" s="101">
        <v>48</v>
      </c>
      <c r="B96" s="101">
        <v>0.92400000000000004</v>
      </c>
      <c r="C96" s="101">
        <v>0.95799999999999996</v>
      </c>
      <c r="G96" s="101">
        <v>0.97199999999999998</v>
      </c>
    </row>
    <row r="97" spans="1:7" x14ac:dyDescent="0.2">
      <c r="A97" s="101">
        <v>48.5</v>
      </c>
      <c r="B97" s="101">
        <v>0.93700000000000006</v>
      </c>
      <c r="C97" s="101">
        <v>0.96899999999999997</v>
      </c>
      <c r="G97" s="101">
        <v>0.97899999999999998</v>
      </c>
    </row>
    <row r="98" spans="1:7" x14ac:dyDescent="0.2">
      <c r="A98" s="101">
        <v>49</v>
      </c>
      <c r="B98" s="101">
        <v>0.95</v>
      </c>
      <c r="C98" s="101">
        <v>0.98</v>
      </c>
      <c r="G98" s="101">
        <v>0.98599999999999999</v>
      </c>
    </row>
    <row r="99" spans="1:7" x14ac:dyDescent="0.2">
      <c r="A99" s="101">
        <v>49.5</v>
      </c>
      <c r="B99" s="101">
        <v>0.97499999999999998</v>
      </c>
      <c r="C99" s="101">
        <v>0.98899999999999999</v>
      </c>
      <c r="G99" s="101">
        <v>0.99299999999999999</v>
      </c>
    </row>
    <row r="100" spans="1:7" x14ac:dyDescent="0.2">
      <c r="A100" s="101">
        <v>50</v>
      </c>
      <c r="B100" s="101">
        <v>1</v>
      </c>
      <c r="C100" s="101">
        <v>1</v>
      </c>
      <c r="G100" s="101">
        <v>1</v>
      </c>
    </row>
    <row r="101" spans="1:7" x14ac:dyDescent="0.2">
      <c r="A101" s="101">
        <v>50.5</v>
      </c>
      <c r="B101" s="101">
        <v>1.0135000000000001</v>
      </c>
      <c r="C101" s="101">
        <v>1.01</v>
      </c>
    </row>
    <row r="102" spans="1:7" x14ac:dyDescent="0.2">
      <c r="A102" s="101">
        <v>51</v>
      </c>
      <c r="B102" s="101">
        <v>1.0269999999999999</v>
      </c>
      <c r="C102" s="101">
        <v>1.02</v>
      </c>
    </row>
    <row r="103" spans="1:7" x14ac:dyDescent="0.2">
      <c r="A103" s="101">
        <v>51.5</v>
      </c>
      <c r="B103" s="101">
        <v>1.0409999999999999</v>
      </c>
      <c r="C103" s="101">
        <v>1.0309999999999999</v>
      </c>
    </row>
    <row r="104" spans="1:7" x14ac:dyDescent="0.2">
      <c r="A104" s="101">
        <v>52</v>
      </c>
      <c r="B104" s="101">
        <v>1.0549999999999999</v>
      </c>
      <c r="C104" s="101">
        <v>1.042</v>
      </c>
    </row>
    <row r="105" spans="1:7" x14ac:dyDescent="0.2">
      <c r="A105" s="101">
        <v>52.5</v>
      </c>
      <c r="B105" s="101">
        <v>1.069</v>
      </c>
      <c r="C105" s="101">
        <v>1.052</v>
      </c>
    </row>
    <row r="106" spans="1:7" x14ac:dyDescent="0.2">
      <c r="A106" s="101">
        <v>53</v>
      </c>
      <c r="B106" s="101">
        <v>1.083</v>
      </c>
      <c r="C106" s="101">
        <v>1.0620000000000001</v>
      </c>
    </row>
    <row r="107" spans="1:7" x14ac:dyDescent="0.2">
      <c r="A107" s="101">
        <v>53.5</v>
      </c>
      <c r="B107" s="101">
        <v>1.0965</v>
      </c>
      <c r="C107" s="101">
        <v>1.073</v>
      </c>
    </row>
    <row r="108" spans="1:7" x14ac:dyDescent="0.2">
      <c r="A108" s="101">
        <v>54</v>
      </c>
      <c r="B108" s="101">
        <v>1.1100000000000001</v>
      </c>
      <c r="C108" s="101">
        <v>1.083</v>
      </c>
    </row>
    <row r="109" spans="1:7" x14ac:dyDescent="0.2">
      <c r="A109" s="101">
        <v>54.5</v>
      </c>
      <c r="B109" s="101">
        <v>1.1245000000000001</v>
      </c>
      <c r="C109" s="101">
        <v>1.0940000000000001</v>
      </c>
    </row>
    <row r="110" spans="1:7" x14ac:dyDescent="0.2">
      <c r="A110" s="101">
        <v>55</v>
      </c>
      <c r="B110" s="101">
        <v>1.139</v>
      </c>
      <c r="C110" s="101">
        <v>1.105</v>
      </c>
    </row>
    <row r="111" spans="1:7" x14ac:dyDescent="0.2">
      <c r="A111" s="101">
        <v>55.5</v>
      </c>
      <c r="B111" s="101">
        <v>1.153</v>
      </c>
      <c r="C111" s="101">
        <v>1.1140000000000001</v>
      </c>
    </row>
    <row r="112" spans="1:7" x14ac:dyDescent="0.2">
      <c r="A112" s="101">
        <v>56</v>
      </c>
      <c r="B112" s="101">
        <v>1.167</v>
      </c>
      <c r="C112" s="101">
        <v>1.125</v>
      </c>
    </row>
    <row r="113" spans="1:3" x14ac:dyDescent="0.2">
      <c r="A113" s="101">
        <v>56.5</v>
      </c>
      <c r="B113" s="101">
        <v>1.181</v>
      </c>
      <c r="C113" s="101">
        <v>1.1359999999999999</v>
      </c>
    </row>
    <row r="114" spans="1:3" x14ac:dyDescent="0.2">
      <c r="A114" s="101">
        <v>57</v>
      </c>
      <c r="B114" s="101">
        <v>1.1950000000000001</v>
      </c>
      <c r="C114" s="101">
        <v>1.1459999999999999</v>
      </c>
    </row>
    <row r="115" spans="1:3" x14ac:dyDescent="0.2">
      <c r="A115" s="101">
        <v>57.5</v>
      </c>
      <c r="B115" s="101">
        <v>1.2095</v>
      </c>
      <c r="C115" s="101">
        <v>1.1559999999999999</v>
      </c>
    </row>
    <row r="116" spans="1:3" x14ac:dyDescent="0.2">
      <c r="A116" s="101">
        <v>58</v>
      </c>
      <c r="B116" s="101">
        <v>1.224</v>
      </c>
      <c r="C116" s="101">
        <v>1.167</v>
      </c>
    </row>
    <row r="117" spans="1:3" x14ac:dyDescent="0.2">
      <c r="A117" s="101">
        <v>58.5</v>
      </c>
      <c r="B117" s="101">
        <v>1.2384999999999999</v>
      </c>
      <c r="C117" s="101">
        <v>1.177</v>
      </c>
    </row>
    <row r="118" spans="1:3" x14ac:dyDescent="0.2">
      <c r="A118" s="101">
        <v>59</v>
      </c>
      <c r="B118" s="101">
        <v>1.2529999999999999</v>
      </c>
      <c r="C118" s="101">
        <v>1.1879999999999999</v>
      </c>
    </row>
    <row r="119" spans="1:3" x14ac:dyDescent="0.2">
      <c r="A119" s="101">
        <v>59.5</v>
      </c>
      <c r="B119" s="101">
        <v>1.2675000000000001</v>
      </c>
      <c r="C119" s="101">
        <v>1.1990000000000001</v>
      </c>
    </row>
    <row r="120" spans="1:3" x14ac:dyDescent="0.2">
      <c r="A120" s="101">
        <v>60</v>
      </c>
      <c r="B120" s="101">
        <v>1.282</v>
      </c>
      <c r="C120" s="101">
        <v>1.2090000000000001</v>
      </c>
    </row>
    <row r="121" spans="1:3" x14ac:dyDescent="0.2">
      <c r="A121" s="101">
        <v>60.5</v>
      </c>
      <c r="B121" s="101">
        <v>1.2965</v>
      </c>
      <c r="C121" s="101">
        <v>1.2190000000000001</v>
      </c>
    </row>
    <row r="122" spans="1:3" x14ac:dyDescent="0.2">
      <c r="A122" s="101">
        <v>61</v>
      </c>
      <c r="B122" s="101">
        <v>1.3109999999999999</v>
      </c>
      <c r="C122" s="101">
        <v>1.23</v>
      </c>
    </row>
    <row r="123" spans="1:3" x14ac:dyDescent="0.2">
      <c r="A123" s="101">
        <v>61.5</v>
      </c>
      <c r="B123" s="101">
        <v>1.3254999999999999</v>
      </c>
      <c r="C123" s="101">
        <v>1.24</v>
      </c>
    </row>
    <row r="124" spans="1:3" x14ac:dyDescent="0.2">
      <c r="A124" s="101">
        <v>62</v>
      </c>
      <c r="B124" s="101">
        <v>1.34</v>
      </c>
      <c r="C124" s="101">
        <v>1.2509999999999999</v>
      </c>
    </row>
    <row r="125" spans="1:3" x14ac:dyDescent="0.2">
      <c r="A125" s="101">
        <v>62.5</v>
      </c>
      <c r="B125" s="101">
        <v>1.355</v>
      </c>
      <c r="C125" s="101">
        <v>1.2609999999999999</v>
      </c>
    </row>
    <row r="126" spans="1:3" x14ac:dyDescent="0.2">
      <c r="A126" s="101">
        <v>63</v>
      </c>
      <c r="B126" s="101">
        <v>1.37</v>
      </c>
      <c r="C126" s="101">
        <v>1.272</v>
      </c>
    </row>
    <row r="127" spans="1:3" x14ac:dyDescent="0.2">
      <c r="A127" s="101">
        <v>63.5</v>
      </c>
      <c r="B127" s="101">
        <v>1.3845000000000001</v>
      </c>
      <c r="C127" s="101">
        <v>1.282</v>
      </c>
    </row>
    <row r="128" spans="1:3" x14ac:dyDescent="0.2">
      <c r="A128" s="101">
        <v>64</v>
      </c>
      <c r="B128" s="101">
        <v>1.399</v>
      </c>
      <c r="C128" s="101">
        <v>1.292</v>
      </c>
    </row>
    <row r="129" spans="1:3" x14ac:dyDescent="0.2">
      <c r="A129" s="101">
        <v>64.5</v>
      </c>
      <c r="B129" s="101">
        <v>1.4140000000000001</v>
      </c>
      <c r="C129" s="101">
        <v>1.3029999999999999</v>
      </c>
    </row>
    <row r="130" spans="1:3" x14ac:dyDescent="0.2">
      <c r="A130" s="101">
        <v>65</v>
      </c>
      <c r="B130" s="101">
        <v>1.429</v>
      </c>
      <c r="C130" s="101">
        <v>1.3140000000000001</v>
      </c>
    </row>
    <row r="131" spans="1:3" x14ac:dyDescent="0.2">
      <c r="A131" s="101">
        <v>65.5</v>
      </c>
      <c r="B131" s="101">
        <v>1.444</v>
      </c>
      <c r="C131" s="101">
        <v>1.3240000000000001</v>
      </c>
    </row>
    <row r="132" spans="1:3" x14ac:dyDescent="0.2">
      <c r="A132" s="101">
        <v>66</v>
      </c>
      <c r="B132" s="101">
        <v>1.4590000000000001</v>
      </c>
      <c r="C132" s="101">
        <v>1.335</v>
      </c>
    </row>
    <row r="133" spans="1:3" x14ac:dyDescent="0.2">
      <c r="A133" s="101">
        <v>66.5</v>
      </c>
      <c r="B133" s="101">
        <v>1.4740000000000002</v>
      </c>
      <c r="C133" s="101">
        <v>1.345</v>
      </c>
    </row>
    <row r="134" spans="1:3" x14ac:dyDescent="0.2">
      <c r="A134" s="101">
        <v>67</v>
      </c>
      <c r="B134" s="101">
        <v>1.4890000000000001</v>
      </c>
      <c r="C134" s="101">
        <v>1.355</v>
      </c>
    </row>
    <row r="135" spans="1:3" x14ac:dyDescent="0.2">
      <c r="A135" s="101">
        <v>67.5</v>
      </c>
      <c r="B135" s="101">
        <v>1.5045000000000002</v>
      </c>
      <c r="C135" s="101">
        <v>1.3660000000000001</v>
      </c>
    </row>
    <row r="136" spans="1:3" x14ac:dyDescent="0.2">
      <c r="A136" s="101">
        <v>68</v>
      </c>
      <c r="B136" s="101">
        <v>1.52</v>
      </c>
      <c r="C136" s="101">
        <v>1.377</v>
      </c>
    </row>
    <row r="137" spans="1:3" x14ac:dyDescent="0.2">
      <c r="A137" s="101">
        <v>68.5</v>
      </c>
      <c r="B137" s="101">
        <v>1.5349999999999999</v>
      </c>
      <c r="C137" s="101">
        <v>1.387</v>
      </c>
    </row>
    <row r="138" spans="1:3" x14ac:dyDescent="0.2">
      <c r="A138" s="101">
        <v>69</v>
      </c>
      <c r="B138" s="101">
        <v>1.55</v>
      </c>
      <c r="C138" s="101">
        <v>1.3979999999999999</v>
      </c>
    </row>
    <row r="139" spans="1:3" x14ac:dyDescent="0.2">
      <c r="A139" s="101">
        <v>69.5</v>
      </c>
      <c r="B139" s="101">
        <v>1.5655000000000001</v>
      </c>
      <c r="C139" s="101">
        <v>1.4079999999999999</v>
      </c>
    </row>
    <row r="140" spans="1:3" x14ac:dyDescent="0.2">
      <c r="A140" s="101">
        <v>70</v>
      </c>
      <c r="B140" s="101">
        <v>1.581</v>
      </c>
      <c r="C140" s="101">
        <v>1.419</v>
      </c>
    </row>
  </sheetData>
  <pageMargins left="0.78740157499999996" right="0.78740157499999996" top="0.984251969" bottom="0.984251969" header="0.4921259845" footer="0.492125984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AF4F5-3FB1-47F4-9472-166D340EC674}">
  <dimension ref="A1:Q125"/>
  <sheetViews>
    <sheetView workbookViewId="0">
      <selection activeCell="F3" sqref="F3:G3"/>
    </sheetView>
  </sheetViews>
  <sheetFormatPr baseColWidth="10" defaultRowHeight="12.75" x14ac:dyDescent="0.2"/>
  <cols>
    <col min="1" max="1" width="15.85546875" style="101" customWidth="1"/>
    <col min="2" max="16384" width="11.42578125" style="101"/>
  </cols>
  <sheetData>
    <row r="1" spans="1:10" x14ac:dyDescent="0.2">
      <c r="A1" s="101" t="s">
        <v>941</v>
      </c>
      <c r="B1" s="101" t="s">
        <v>1070</v>
      </c>
      <c r="C1" s="101" t="s">
        <v>1452</v>
      </c>
      <c r="D1" s="102" t="s">
        <v>1453</v>
      </c>
      <c r="E1" s="101" t="s">
        <v>1454</v>
      </c>
      <c r="F1" s="101" t="s">
        <v>1455</v>
      </c>
      <c r="G1" s="101" t="s">
        <v>1456</v>
      </c>
      <c r="H1" s="102" t="s">
        <v>1457</v>
      </c>
    </row>
    <row r="2" spans="1:10" x14ac:dyDescent="0.2">
      <c r="A2" s="102" t="s">
        <v>1458</v>
      </c>
      <c r="B2" s="101">
        <v>176</v>
      </c>
      <c r="C2" s="101" t="s">
        <v>1459</v>
      </c>
      <c r="D2" s="101">
        <v>239</v>
      </c>
      <c r="E2" s="101">
        <v>4</v>
      </c>
      <c r="F2" s="101">
        <v>75</v>
      </c>
      <c r="G2" s="101">
        <v>42</v>
      </c>
      <c r="H2" s="101">
        <v>209</v>
      </c>
      <c r="J2" s="102" t="s">
        <v>1460</v>
      </c>
    </row>
    <row r="3" spans="1:10" x14ac:dyDescent="0.2">
      <c r="A3" s="102" t="s">
        <v>1461</v>
      </c>
      <c r="B3" s="101">
        <v>224</v>
      </c>
      <c r="C3" s="101" t="s">
        <v>1462</v>
      </c>
      <c r="D3" s="101">
        <v>319</v>
      </c>
      <c r="E3" s="101">
        <v>5</v>
      </c>
      <c r="F3" s="101">
        <v>75</v>
      </c>
      <c r="G3" s="101">
        <v>54</v>
      </c>
      <c r="H3" s="101">
        <v>273</v>
      </c>
      <c r="J3" s="102" t="s">
        <v>1463</v>
      </c>
    </row>
    <row r="4" spans="1:10" x14ac:dyDescent="0.2">
      <c r="A4" s="102" t="s">
        <v>1464</v>
      </c>
      <c r="B4" s="101">
        <v>240</v>
      </c>
      <c r="C4" s="101" t="s">
        <v>1462</v>
      </c>
      <c r="D4" s="101">
        <v>328</v>
      </c>
      <c r="E4" s="101">
        <v>5</v>
      </c>
      <c r="F4" s="101">
        <v>75</v>
      </c>
      <c r="G4" s="101">
        <v>60</v>
      </c>
      <c r="H4" s="101">
        <v>281</v>
      </c>
    </row>
    <row r="5" spans="1:10" x14ac:dyDescent="0.2">
      <c r="A5" s="102" t="s">
        <v>1465</v>
      </c>
      <c r="B5" s="101">
        <v>272</v>
      </c>
      <c r="C5" s="101" t="s">
        <v>1462</v>
      </c>
      <c r="D5" s="101">
        <v>364</v>
      </c>
      <c r="E5" s="101">
        <v>5</v>
      </c>
      <c r="F5" s="101">
        <v>75</v>
      </c>
      <c r="G5" s="101">
        <v>68</v>
      </c>
      <c r="H5" s="101">
        <v>312</v>
      </c>
    </row>
    <row r="6" spans="1:10" x14ac:dyDescent="0.2">
      <c r="A6" s="102" t="s">
        <v>1466</v>
      </c>
      <c r="B6" s="101">
        <v>304</v>
      </c>
      <c r="C6" s="101" t="s">
        <v>1462</v>
      </c>
      <c r="D6" s="101">
        <v>386</v>
      </c>
      <c r="E6" s="101">
        <v>5</v>
      </c>
      <c r="F6" s="101">
        <v>75</v>
      </c>
      <c r="G6" s="101">
        <v>76</v>
      </c>
      <c r="H6" s="101">
        <v>331</v>
      </c>
    </row>
    <row r="7" spans="1:10" x14ac:dyDescent="0.2">
      <c r="A7" s="102" t="s">
        <v>1467</v>
      </c>
      <c r="B7" s="101">
        <v>336</v>
      </c>
      <c r="C7" s="101" t="s">
        <v>1468</v>
      </c>
      <c r="D7" s="101">
        <v>461</v>
      </c>
      <c r="E7" s="101">
        <v>5.5</v>
      </c>
      <c r="F7" s="101">
        <v>75</v>
      </c>
      <c r="G7" s="101">
        <v>84</v>
      </c>
      <c r="H7" s="101">
        <v>405</v>
      </c>
    </row>
    <row r="8" spans="1:10" x14ac:dyDescent="0.2">
      <c r="A8" s="102" t="s">
        <v>1469</v>
      </c>
      <c r="B8" s="101">
        <v>368</v>
      </c>
      <c r="C8" s="101" t="s">
        <v>1468</v>
      </c>
      <c r="D8" s="101">
        <v>531</v>
      </c>
      <c r="E8" s="101">
        <v>5.5</v>
      </c>
      <c r="F8" s="101">
        <v>75</v>
      </c>
      <c r="G8" s="101">
        <v>94</v>
      </c>
      <c r="H8" s="101">
        <v>466</v>
      </c>
    </row>
    <row r="9" spans="1:10" x14ac:dyDescent="0.2">
      <c r="A9" s="101" t="s">
        <v>1470</v>
      </c>
      <c r="B9" s="101">
        <v>176</v>
      </c>
      <c r="C9" s="101" t="s">
        <v>1459</v>
      </c>
      <c r="D9" s="101">
        <v>239</v>
      </c>
      <c r="E9" s="101">
        <v>4</v>
      </c>
      <c r="F9" s="101">
        <v>125</v>
      </c>
      <c r="G9" s="101">
        <v>42</v>
      </c>
      <c r="H9" s="101">
        <v>209</v>
      </c>
    </row>
    <row r="10" spans="1:10" x14ac:dyDescent="0.2">
      <c r="A10" s="101" t="s">
        <v>1471</v>
      </c>
      <c r="B10" s="101">
        <v>224</v>
      </c>
      <c r="C10" s="101" t="s">
        <v>1462</v>
      </c>
      <c r="D10" s="101">
        <v>319</v>
      </c>
      <c r="E10" s="101">
        <v>5</v>
      </c>
      <c r="F10" s="101">
        <v>125</v>
      </c>
      <c r="G10" s="101">
        <v>54</v>
      </c>
      <c r="H10" s="101">
        <v>273</v>
      </c>
    </row>
    <row r="11" spans="1:10" x14ac:dyDescent="0.2">
      <c r="A11" s="101" t="s">
        <v>1472</v>
      </c>
      <c r="B11" s="101">
        <v>240</v>
      </c>
      <c r="C11" s="101" t="s">
        <v>1462</v>
      </c>
      <c r="D11" s="101">
        <v>328</v>
      </c>
      <c r="E11" s="101">
        <v>5</v>
      </c>
      <c r="F11" s="101">
        <v>125</v>
      </c>
      <c r="G11" s="101">
        <v>60</v>
      </c>
      <c r="H11" s="101">
        <v>281</v>
      </c>
    </row>
    <row r="12" spans="1:10" x14ac:dyDescent="0.2">
      <c r="A12" s="101" t="s">
        <v>1473</v>
      </c>
      <c r="B12" s="101">
        <v>272</v>
      </c>
      <c r="C12" s="101" t="s">
        <v>1462</v>
      </c>
      <c r="D12" s="101">
        <v>364</v>
      </c>
      <c r="E12" s="101">
        <v>5</v>
      </c>
      <c r="F12" s="101">
        <v>150</v>
      </c>
      <c r="G12" s="101">
        <v>68</v>
      </c>
      <c r="H12" s="101">
        <v>312</v>
      </c>
    </row>
    <row r="13" spans="1:10" x14ac:dyDescent="0.2">
      <c r="A13" s="101" t="s">
        <v>1474</v>
      </c>
      <c r="B13" s="101">
        <v>304</v>
      </c>
      <c r="C13" s="101" t="s">
        <v>1462</v>
      </c>
      <c r="D13" s="101">
        <v>386</v>
      </c>
      <c r="E13" s="101">
        <v>5</v>
      </c>
      <c r="F13" s="101">
        <v>150</v>
      </c>
      <c r="G13" s="101">
        <v>76</v>
      </c>
      <c r="H13" s="101">
        <v>331</v>
      </c>
    </row>
    <row r="14" spans="1:10" x14ac:dyDescent="0.2">
      <c r="A14" s="101" t="s">
        <v>1475</v>
      </c>
      <c r="B14" s="101">
        <v>336</v>
      </c>
      <c r="C14" s="101" t="s">
        <v>1468</v>
      </c>
      <c r="D14" s="101">
        <v>461</v>
      </c>
      <c r="E14" s="101">
        <v>5.5</v>
      </c>
      <c r="F14" s="101">
        <v>150</v>
      </c>
      <c r="G14" s="101">
        <v>84</v>
      </c>
      <c r="H14" s="101">
        <v>405</v>
      </c>
    </row>
    <row r="15" spans="1:10" x14ac:dyDescent="0.2">
      <c r="A15" s="101" t="s">
        <v>1476</v>
      </c>
      <c r="B15" s="101">
        <v>368</v>
      </c>
      <c r="C15" s="101" t="s">
        <v>1468</v>
      </c>
      <c r="D15" s="101">
        <v>531</v>
      </c>
      <c r="E15" s="101">
        <v>5.5</v>
      </c>
      <c r="F15" s="101">
        <v>150</v>
      </c>
      <c r="G15" s="101">
        <v>94</v>
      </c>
      <c r="H15" s="101">
        <v>466</v>
      </c>
    </row>
    <row r="16" spans="1:10" x14ac:dyDescent="0.2">
      <c r="A16" s="101" t="s">
        <v>1477</v>
      </c>
      <c r="B16" s="101">
        <v>176</v>
      </c>
      <c r="C16" s="101" t="s">
        <v>1459</v>
      </c>
      <c r="D16" s="101">
        <v>259</v>
      </c>
      <c r="E16" s="101">
        <v>4</v>
      </c>
      <c r="F16" s="101">
        <v>100</v>
      </c>
      <c r="G16" s="101">
        <v>94</v>
      </c>
      <c r="H16" s="101">
        <v>241</v>
      </c>
    </row>
    <row r="17" spans="1:8" x14ac:dyDescent="0.2">
      <c r="A17" s="101" t="s">
        <v>1478</v>
      </c>
      <c r="B17" s="101">
        <v>224</v>
      </c>
      <c r="C17" s="101" t="s">
        <v>1462</v>
      </c>
      <c r="D17" s="101">
        <v>351</v>
      </c>
      <c r="E17" s="101">
        <v>5</v>
      </c>
      <c r="F17" s="101">
        <v>100</v>
      </c>
      <c r="G17" s="101">
        <v>94</v>
      </c>
      <c r="H17" s="101">
        <v>322</v>
      </c>
    </row>
    <row r="18" spans="1:8" x14ac:dyDescent="0.2">
      <c r="A18" s="101" t="s">
        <v>1479</v>
      </c>
      <c r="B18" s="101">
        <v>240</v>
      </c>
      <c r="C18" s="101" t="s">
        <v>1462</v>
      </c>
      <c r="D18" s="101">
        <v>390</v>
      </c>
      <c r="E18" s="101">
        <v>5</v>
      </c>
      <c r="F18" s="101">
        <v>100</v>
      </c>
      <c r="G18" s="101">
        <v>94</v>
      </c>
      <c r="H18" s="101">
        <v>331</v>
      </c>
    </row>
    <row r="19" spans="1:8" x14ac:dyDescent="0.2">
      <c r="A19" s="101" t="s">
        <v>1480</v>
      </c>
      <c r="B19" s="101">
        <v>272</v>
      </c>
      <c r="C19" s="101" t="s">
        <v>1462</v>
      </c>
      <c r="D19" s="101">
        <v>441</v>
      </c>
      <c r="E19" s="101">
        <v>5</v>
      </c>
      <c r="F19" s="101">
        <v>100</v>
      </c>
      <c r="G19" s="101">
        <v>94</v>
      </c>
      <c r="H19" s="101">
        <v>368</v>
      </c>
    </row>
    <row r="20" spans="1:8" x14ac:dyDescent="0.2">
      <c r="A20" s="101" t="s">
        <v>1481</v>
      </c>
      <c r="B20" s="101">
        <v>304</v>
      </c>
      <c r="C20" s="101" t="s">
        <v>1462</v>
      </c>
      <c r="D20" s="101">
        <v>459</v>
      </c>
      <c r="E20" s="101">
        <v>5</v>
      </c>
      <c r="F20" s="101">
        <v>100</v>
      </c>
      <c r="G20" s="101">
        <v>94</v>
      </c>
      <c r="H20" s="101">
        <v>390</v>
      </c>
    </row>
    <row r="21" spans="1:8" x14ac:dyDescent="0.2">
      <c r="A21" s="101" t="s">
        <v>1482</v>
      </c>
      <c r="B21" s="101">
        <v>336</v>
      </c>
      <c r="C21" s="101" t="s">
        <v>1468</v>
      </c>
      <c r="D21" s="101">
        <v>540</v>
      </c>
      <c r="E21" s="101">
        <v>5.5</v>
      </c>
      <c r="F21" s="101">
        <v>100</v>
      </c>
      <c r="G21" s="101">
        <v>94</v>
      </c>
      <c r="H21" s="101">
        <v>466</v>
      </c>
    </row>
    <row r="22" spans="1:8" x14ac:dyDescent="0.2">
      <c r="A22" s="101" t="s">
        <v>1483</v>
      </c>
      <c r="B22" s="101">
        <v>368</v>
      </c>
      <c r="C22" s="101" t="s">
        <v>1468</v>
      </c>
      <c r="D22" s="101">
        <v>610</v>
      </c>
      <c r="E22" s="101">
        <v>5.5</v>
      </c>
      <c r="F22" s="101">
        <v>100</v>
      </c>
      <c r="G22" s="101">
        <v>94</v>
      </c>
      <c r="H22" s="101">
        <v>536</v>
      </c>
    </row>
    <row r="23" spans="1:8" x14ac:dyDescent="0.2">
      <c r="A23" s="101" t="s">
        <v>1484</v>
      </c>
      <c r="B23" s="101">
        <v>176</v>
      </c>
      <c r="C23" s="101" t="s">
        <v>1459</v>
      </c>
      <c r="D23" s="101">
        <v>259</v>
      </c>
      <c r="E23" s="101">
        <v>4</v>
      </c>
      <c r="F23" s="101">
        <v>125</v>
      </c>
      <c r="G23" s="101">
        <v>94</v>
      </c>
      <c r="H23" s="101">
        <v>241</v>
      </c>
    </row>
    <row r="24" spans="1:8" x14ac:dyDescent="0.2">
      <c r="A24" s="101" t="s">
        <v>1485</v>
      </c>
      <c r="B24" s="101">
        <v>224</v>
      </c>
      <c r="C24" s="101" t="s">
        <v>1462</v>
      </c>
      <c r="D24" s="101">
        <v>351</v>
      </c>
      <c r="E24" s="101">
        <v>5</v>
      </c>
      <c r="F24" s="101">
        <v>125</v>
      </c>
      <c r="G24" s="101">
        <v>94</v>
      </c>
      <c r="H24" s="101">
        <v>322</v>
      </c>
    </row>
    <row r="25" spans="1:8" x14ac:dyDescent="0.2">
      <c r="A25" s="101" t="s">
        <v>1486</v>
      </c>
      <c r="B25" s="101">
        <v>240</v>
      </c>
      <c r="C25" s="101" t="s">
        <v>1462</v>
      </c>
      <c r="D25" s="101">
        <v>390</v>
      </c>
      <c r="E25" s="101">
        <v>5</v>
      </c>
      <c r="F25" s="101">
        <v>125</v>
      </c>
      <c r="G25" s="101">
        <v>94</v>
      </c>
      <c r="H25" s="101">
        <v>331</v>
      </c>
    </row>
    <row r="26" spans="1:8" x14ac:dyDescent="0.2">
      <c r="A26" s="101" t="s">
        <v>1487</v>
      </c>
      <c r="B26" s="101">
        <v>272</v>
      </c>
      <c r="C26" s="101" t="s">
        <v>1462</v>
      </c>
      <c r="D26" s="101">
        <v>441</v>
      </c>
      <c r="E26" s="101">
        <v>5</v>
      </c>
      <c r="F26" s="101">
        <v>150</v>
      </c>
      <c r="G26" s="101">
        <v>94</v>
      </c>
      <c r="H26" s="101">
        <v>368</v>
      </c>
    </row>
    <row r="27" spans="1:8" x14ac:dyDescent="0.2">
      <c r="A27" s="101" t="s">
        <v>1488</v>
      </c>
      <c r="B27" s="101">
        <v>304</v>
      </c>
      <c r="C27" s="101" t="s">
        <v>1462</v>
      </c>
      <c r="D27" s="101">
        <v>459</v>
      </c>
      <c r="E27" s="101">
        <v>5</v>
      </c>
      <c r="F27" s="101">
        <v>150</v>
      </c>
      <c r="G27" s="101">
        <v>94</v>
      </c>
      <c r="H27" s="101">
        <v>390</v>
      </c>
    </row>
    <row r="28" spans="1:8" x14ac:dyDescent="0.2">
      <c r="A28" s="101" t="s">
        <v>1489</v>
      </c>
      <c r="B28" s="101">
        <v>336</v>
      </c>
      <c r="C28" s="101" t="s">
        <v>1468</v>
      </c>
      <c r="D28" s="101">
        <v>540</v>
      </c>
      <c r="E28" s="101">
        <v>5.5</v>
      </c>
      <c r="F28" s="101">
        <v>150</v>
      </c>
      <c r="G28" s="101">
        <v>94</v>
      </c>
      <c r="H28" s="101">
        <v>466</v>
      </c>
    </row>
    <row r="29" spans="1:8" x14ac:dyDescent="0.2">
      <c r="A29" s="101" t="s">
        <v>1490</v>
      </c>
      <c r="B29" s="101">
        <v>368</v>
      </c>
      <c r="C29" s="101" t="s">
        <v>1468</v>
      </c>
      <c r="D29" s="101">
        <v>610</v>
      </c>
      <c r="E29" s="101">
        <v>5.5</v>
      </c>
      <c r="F29" s="101">
        <v>150</v>
      </c>
      <c r="G29" s="101">
        <v>94</v>
      </c>
      <c r="H29" s="101">
        <v>536</v>
      </c>
    </row>
    <row r="30" spans="1:8" x14ac:dyDescent="0.2">
      <c r="A30" s="101" t="s">
        <v>1491</v>
      </c>
      <c r="B30" s="101">
        <v>176</v>
      </c>
      <c r="C30" s="101" t="s">
        <v>1492</v>
      </c>
      <c r="D30" s="101">
        <v>271</v>
      </c>
      <c r="E30" s="101">
        <v>4.5</v>
      </c>
      <c r="F30" s="101">
        <v>100</v>
      </c>
      <c r="G30" s="101">
        <v>94</v>
      </c>
      <c r="H30" s="101">
        <v>246</v>
      </c>
    </row>
    <row r="31" spans="1:8" x14ac:dyDescent="0.2">
      <c r="A31" s="101" t="s">
        <v>1493</v>
      </c>
      <c r="B31" s="101">
        <v>224</v>
      </c>
      <c r="C31" s="101" t="s">
        <v>1494</v>
      </c>
      <c r="D31" s="101">
        <v>412</v>
      </c>
      <c r="E31" s="101">
        <v>5.5</v>
      </c>
      <c r="F31" s="101">
        <v>100</v>
      </c>
      <c r="G31" s="101">
        <v>94</v>
      </c>
      <c r="H31" s="101">
        <v>374</v>
      </c>
    </row>
    <row r="32" spans="1:8" x14ac:dyDescent="0.2">
      <c r="A32" s="101" t="s">
        <v>1495</v>
      </c>
      <c r="B32" s="101">
        <v>240</v>
      </c>
      <c r="C32" s="101" t="s">
        <v>1494</v>
      </c>
      <c r="D32" s="101">
        <v>436</v>
      </c>
      <c r="E32" s="101">
        <v>5.5</v>
      </c>
      <c r="F32" s="101">
        <v>100</v>
      </c>
      <c r="G32" s="101">
        <v>94</v>
      </c>
      <c r="H32" s="101">
        <v>396</v>
      </c>
    </row>
    <row r="33" spans="1:8" x14ac:dyDescent="0.2">
      <c r="A33" s="101" t="s">
        <v>1496</v>
      </c>
      <c r="B33" s="101">
        <v>272</v>
      </c>
      <c r="C33" s="101" t="s">
        <v>1497</v>
      </c>
      <c r="D33" s="101">
        <v>531</v>
      </c>
      <c r="E33" s="101">
        <v>6.8</v>
      </c>
      <c r="F33" s="101">
        <v>100</v>
      </c>
      <c r="G33" s="101">
        <v>94</v>
      </c>
      <c r="H33" s="101">
        <v>482</v>
      </c>
    </row>
    <row r="34" spans="1:8" x14ac:dyDescent="0.2">
      <c r="A34" s="101" t="s">
        <v>1498</v>
      </c>
      <c r="B34" s="101">
        <v>304</v>
      </c>
      <c r="C34" s="101" t="s">
        <v>1497</v>
      </c>
      <c r="D34" s="101">
        <v>563</v>
      </c>
      <c r="E34" s="101">
        <v>6.8</v>
      </c>
      <c r="F34" s="101">
        <v>100</v>
      </c>
      <c r="G34" s="101">
        <v>94</v>
      </c>
      <c r="H34" s="101">
        <v>512</v>
      </c>
    </row>
    <row r="35" spans="1:8" x14ac:dyDescent="0.2">
      <c r="A35" s="101" t="s">
        <v>1499</v>
      </c>
      <c r="B35" s="101">
        <v>336</v>
      </c>
      <c r="C35" s="101" t="s">
        <v>1500</v>
      </c>
      <c r="D35" s="101">
        <v>657</v>
      </c>
      <c r="E35" s="101">
        <v>7.5</v>
      </c>
      <c r="F35" s="101">
        <v>100</v>
      </c>
      <c r="G35" s="101">
        <v>94</v>
      </c>
      <c r="H35" s="101">
        <v>597</v>
      </c>
    </row>
    <row r="36" spans="1:8" x14ac:dyDescent="0.2">
      <c r="A36" s="101" t="s">
        <v>1501</v>
      </c>
      <c r="B36" s="101">
        <v>368</v>
      </c>
      <c r="C36" s="101" t="s">
        <v>1500</v>
      </c>
      <c r="D36" s="101">
        <v>756</v>
      </c>
      <c r="E36" s="101">
        <v>7.5</v>
      </c>
      <c r="F36" s="101">
        <v>100</v>
      </c>
      <c r="G36" s="101">
        <v>94</v>
      </c>
      <c r="H36" s="101">
        <v>687</v>
      </c>
    </row>
    <row r="37" spans="1:8" x14ac:dyDescent="0.2">
      <c r="A37" s="101" t="s">
        <v>1502</v>
      </c>
      <c r="B37" s="101">
        <v>176</v>
      </c>
      <c r="C37" s="101" t="s">
        <v>1492</v>
      </c>
      <c r="D37" s="101">
        <v>271</v>
      </c>
      <c r="E37" s="101">
        <v>4.5</v>
      </c>
      <c r="F37" s="101">
        <v>125</v>
      </c>
      <c r="G37" s="101">
        <v>94</v>
      </c>
      <c r="H37" s="101">
        <v>246</v>
      </c>
    </row>
    <row r="38" spans="1:8" x14ac:dyDescent="0.2">
      <c r="A38" s="101" t="s">
        <v>1503</v>
      </c>
      <c r="B38" s="101">
        <v>224</v>
      </c>
      <c r="C38" s="101" t="s">
        <v>1494</v>
      </c>
      <c r="D38" s="101">
        <v>412</v>
      </c>
      <c r="E38" s="101">
        <v>5.5</v>
      </c>
      <c r="F38" s="101">
        <v>125</v>
      </c>
      <c r="G38" s="101">
        <v>94</v>
      </c>
      <c r="H38" s="101">
        <v>374</v>
      </c>
    </row>
    <row r="39" spans="1:8" x14ac:dyDescent="0.2">
      <c r="A39" s="101" t="s">
        <v>1504</v>
      </c>
      <c r="B39" s="101">
        <v>240</v>
      </c>
      <c r="C39" s="101" t="s">
        <v>1494</v>
      </c>
      <c r="D39" s="101">
        <v>436</v>
      </c>
      <c r="E39" s="101">
        <v>5.5</v>
      </c>
      <c r="F39" s="101">
        <v>125</v>
      </c>
      <c r="G39" s="101">
        <v>94</v>
      </c>
      <c r="H39" s="101">
        <v>396</v>
      </c>
    </row>
    <row r="40" spans="1:8" x14ac:dyDescent="0.2">
      <c r="A40" s="101" t="s">
        <v>1505</v>
      </c>
      <c r="B40" s="101">
        <v>272</v>
      </c>
      <c r="C40" s="101" t="s">
        <v>1497</v>
      </c>
      <c r="D40" s="101">
        <v>531</v>
      </c>
      <c r="E40" s="101">
        <v>6.8</v>
      </c>
      <c r="F40" s="101">
        <v>150</v>
      </c>
      <c r="G40" s="101">
        <v>94</v>
      </c>
      <c r="H40" s="101">
        <v>482</v>
      </c>
    </row>
    <row r="41" spans="1:8" x14ac:dyDescent="0.2">
      <c r="A41" s="101" t="s">
        <v>1506</v>
      </c>
      <c r="B41" s="101">
        <v>304</v>
      </c>
      <c r="C41" s="101" t="s">
        <v>1497</v>
      </c>
      <c r="D41" s="101">
        <v>563</v>
      </c>
      <c r="E41" s="101">
        <v>6.8</v>
      </c>
      <c r="F41" s="101">
        <v>150</v>
      </c>
      <c r="G41" s="101">
        <v>94</v>
      </c>
      <c r="H41" s="101">
        <v>512</v>
      </c>
    </row>
    <row r="42" spans="1:8" x14ac:dyDescent="0.2">
      <c r="A42" s="101" t="s">
        <v>1507</v>
      </c>
      <c r="B42" s="101">
        <v>336</v>
      </c>
      <c r="C42" s="101" t="s">
        <v>1500</v>
      </c>
      <c r="D42" s="101">
        <v>657</v>
      </c>
      <c r="E42" s="101">
        <v>7.5</v>
      </c>
      <c r="F42" s="101">
        <v>150</v>
      </c>
      <c r="G42" s="101">
        <v>94</v>
      </c>
      <c r="H42" s="101">
        <v>597</v>
      </c>
    </row>
    <row r="43" spans="1:8" x14ac:dyDescent="0.2">
      <c r="A43" s="101" t="s">
        <v>1508</v>
      </c>
      <c r="B43" s="101">
        <v>368</v>
      </c>
      <c r="C43" s="101" t="s">
        <v>1500</v>
      </c>
      <c r="D43" s="101">
        <v>756</v>
      </c>
      <c r="E43" s="101">
        <v>7.5</v>
      </c>
      <c r="F43" s="101">
        <v>150</v>
      </c>
      <c r="G43" s="101">
        <v>94</v>
      </c>
      <c r="H43" s="101">
        <v>687</v>
      </c>
    </row>
    <row r="44" spans="1:8" x14ac:dyDescent="0.2">
      <c r="A44" s="102" t="s">
        <v>1509</v>
      </c>
      <c r="B44" s="101">
        <v>176</v>
      </c>
      <c r="C44" s="101" t="s">
        <v>1459</v>
      </c>
      <c r="D44" s="101">
        <v>301</v>
      </c>
      <c r="E44" s="101">
        <v>4</v>
      </c>
      <c r="F44" s="101">
        <v>75</v>
      </c>
      <c r="G44" s="101">
        <v>42</v>
      </c>
      <c r="H44" s="101">
        <v>259</v>
      </c>
    </row>
    <row r="45" spans="1:8" x14ac:dyDescent="0.2">
      <c r="A45" s="102" t="s">
        <v>1510</v>
      </c>
      <c r="B45" s="101">
        <v>224</v>
      </c>
      <c r="C45" s="101" t="s">
        <v>1459</v>
      </c>
      <c r="D45" s="101">
        <v>319</v>
      </c>
      <c r="E45" s="101">
        <v>4</v>
      </c>
      <c r="F45" s="101">
        <v>75</v>
      </c>
      <c r="G45" s="101">
        <v>54</v>
      </c>
      <c r="H45" s="101">
        <v>314</v>
      </c>
    </row>
    <row r="46" spans="1:8" x14ac:dyDescent="0.2">
      <c r="A46" s="102" t="s">
        <v>1511</v>
      </c>
      <c r="B46" s="101">
        <v>240</v>
      </c>
      <c r="C46" s="101" t="s">
        <v>1459</v>
      </c>
      <c r="D46" s="101">
        <v>385</v>
      </c>
      <c r="E46" s="101">
        <v>4</v>
      </c>
      <c r="F46" s="101">
        <v>75</v>
      </c>
      <c r="G46" s="101">
        <v>60</v>
      </c>
      <c r="H46" s="101">
        <v>324</v>
      </c>
    </row>
    <row r="47" spans="1:8" x14ac:dyDescent="0.2">
      <c r="A47" s="102" t="s">
        <v>1512</v>
      </c>
      <c r="B47" s="101">
        <v>272</v>
      </c>
      <c r="C47" s="101" t="s">
        <v>1462</v>
      </c>
      <c r="D47" s="101">
        <v>497</v>
      </c>
      <c r="E47" s="101">
        <v>5</v>
      </c>
      <c r="F47" s="101">
        <v>75</v>
      </c>
      <c r="G47" s="101">
        <v>68</v>
      </c>
      <c r="H47" s="101">
        <v>397</v>
      </c>
    </row>
    <row r="48" spans="1:8" x14ac:dyDescent="0.2">
      <c r="A48" s="102" t="s">
        <v>1513</v>
      </c>
      <c r="B48" s="101">
        <v>304</v>
      </c>
      <c r="C48" s="101" t="s">
        <v>1462</v>
      </c>
      <c r="D48" s="101">
        <v>530</v>
      </c>
      <c r="E48" s="101">
        <v>5</v>
      </c>
      <c r="F48" s="101">
        <v>75</v>
      </c>
      <c r="G48" s="101">
        <v>76</v>
      </c>
      <c r="H48" s="101">
        <v>423</v>
      </c>
    </row>
    <row r="49" spans="1:8" x14ac:dyDescent="0.2">
      <c r="A49" s="102" t="s">
        <v>1514</v>
      </c>
      <c r="B49" s="101">
        <v>336</v>
      </c>
      <c r="C49" s="101" t="s">
        <v>1468</v>
      </c>
      <c r="D49" s="101">
        <v>571</v>
      </c>
      <c r="E49" s="101">
        <v>5.5</v>
      </c>
      <c r="F49" s="101">
        <v>75</v>
      </c>
      <c r="G49" s="101">
        <v>84</v>
      </c>
      <c r="H49" s="101">
        <v>465</v>
      </c>
    </row>
    <row r="50" spans="1:8" x14ac:dyDescent="0.2">
      <c r="A50" s="102" t="s">
        <v>1515</v>
      </c>
      <c r="B50" s="101">
        <v>368</v>
      </c>
      <c r="C50" s="101" t="s">
        <v>1468</v>
      </c>
      <c r="D50" s="101">
        <v>655</v>
      </c>
      <c r="E50" s="101">
        <v>5.5</v>
      </c>
      <c r="F50" s="101">
        <v>75</v>
      </c>
      <c r="G50" s="101">
        <v>94</v>
      </c>
      <c r="H50" s="101">
        <v>534</v>
      </c>
    </row>
    <row r="51" spans="1:8" x14ac:dyDescent="0.2">
      <c r="A51" s="102" t="s">
        <v>1516</v>
      </c>
      <c r="B51" s="101">
        <v>176</v>
      </c>
      <c r="C51" s="101" t="s">
        <v>1459</v>
      </c>
      <c r="D51" s="101">
        <v>301</v>
      </c>
      <c r="E51" s="101">
        <v>4</v>
      </c>
      <c r="F51" s="101">
        <v>125</v>
      </c>
      <c r="G51" s="101">
        <v>42</v>
      </c>
      <c r="H51" s="101">
        <v>259</v>
      </c>
    </row>
    <row r="52" spans="1:8" x14ac:dyDescent="0.2">
      <c r="A52" s="102" t="s">
        <v>1517</v>
      </c>
      <c r="B52" s="101">
        <v>224</v>
      </c>
      <c r="C52" s="101" t="s">
        <v>1459</v>
      </c>
      <c r="D52" s="101">
        <v>319</v>
      </c>
      <c r="E52" s="101">
        <v>4</v>
      </c>
      <c r="F52" s="101">
        <v>125</v>
      </c>
      <c r="G52" s="101">
        <v>54</v>
      </c>
      <c r="H52" s="101">
        <v>314</v>
      </c>
    </row>
    <row r="53" spans="1:8" x14ac:dyDescent="0.2">
      <c r="A53" s="102" t="s">
        <v>1518</v>
      </c>
      <c r="B53" s="101">
        <v>240</v>
      </c>
      <c r="C53" s="101" t="s">
        <v>1459</v>
      </c>
      <c r="D53" s="101">
        <v>385</v>
      </c>
      <c r="E53" s="101">
        <v>4</v>
      </c>
      <c r="F53" s="101">
        <v>125</v>
      </c>
      <c r="G53" s="101">
        <v>60</v>
      </c>
      <c r="H53" s="101">
        <v>324</v>
      </c>
    </row>
    <row r="54" spans="1:8" x14ac:dyDescent="0.2">
      <c r="A54" s="102" t="s">
        <v>1519</v>
      </c>
      <c r="B54" s="101">
        <v>272</v>
      </c>
      <c r="C54" s="101" t="s">
        <v>1462</v>
      </c>
      <c r="D54" s="101">
        <v>497</v>
      </c>
      <c r="E54" s="101">
        <v>5</v>
      </c>
      <c r="F54" s="101">
        <v>150</v>
      </c>
      <c r="G54" s="101">
        <v>68</v>
      </c>
      <c r="H54" s="101">
        <v>397</v>
      </c>
    </row>
    <row r="55" spans="1:8" x14ac:dyDescent="0.2">
      <c r="A55" s="102" t="s">
        <v>1520</v>
      </c>
      <c r="B55" s="101">
        <v>304</v>
      </c>
      <c r="C55" s="101" t="s">
        <v>1462</v>
      </c>
      <c r="D55" s="101">
        <v>530</v>
      </c>
      <c r="E55" s="101">
        <v>5</v>
      </c>
      <c r="F55" s="101">
        <v>150</v>
      </c>
      <c r="G55" s="101">
        <v>76</v>
      </c>
      <c r="H55" s="101">
        <v>423</v>
      </c>
    </row>
    <row r="56" spans="1:8" x14ac:dyDescent="0.2">
      <c r="A56" s="102" t="s">
        <v>1521</v>
      </c>
      <c r="B56" s="101">
        <v>336</v>
      </c>
      <c r="C56" s="101" t="s">
        <v>1468</v>
      </c>
      <c r="D56" s="101">
        <v>571</v>
      </c>
      <c r="E56" s="101">
        <v>5.5</v>
      </c>
      <c r="F56" s="101">
        <v>150</v>
      </c>
      <c r="G56" s="101">
        <v>84</v>
      </c>
      <c r="H56" s="101">
        <v>465</v>
      </c>
    </row>
    <row r="57" spans="1:8" x14ac:dyDescent="0.2">
      <c r="A57" s="102" t="s">
        <v>1522</v>
      </c>
      <c r="B57" s="101">
        <v>368</v>
      </c>
      <c r="C57" s="101" t="s">
        <v>1468</v>
      </c>
      <c r="D57" s="101">
        <v>655</v>
      </c>
      <c r="E57" s="101">
        <v>5.5</v>
      </c>
      <c r="F57" s="101">
        <v>150</v>
      </c>
      <c r="G57" s="101">
        <v>94</v>
      </c>
      <c r="H57" s="101">
        <v>534</v>
      </c>
    </row>
    <row r="58" spans="1:8" x14ac:dyDescent="0.2">
      <c r="A58" s="102" t="s">
        <v>1523</v>
      </c>
      <c r="B58" s="101">
        <v>176</v>
      </c>
      <c r="C58" s="101" t="s">
        <v>1459</v>
      </c>
      <c r="D58" s="101">
        <v>325</v>
      </c>
      <c r="E58" s="101">
        <v>4</v>
      </c>
      <c r="F58" s="101">
        <v>100</v>
      </c>
      <c r="G58" s="101">
        <v>94</v>
      </c>
      <c r="H58" s="101">
        <v>259</v>
      </c>
    </row>
    <row r="59" spans="1:8" x14ac:dyDescent="0.2">
      <c r="A59" s="102" t="s">
        <v>1524</v>
      </c>
      <c r="B59" s="101">
        <v>224</v>
      </c>
      <c r="C59" s="101" t="s">
        <v>1459</v>
      </c>
      <c r="D59" s="101">
        <v>410</v>
      </c>
      <c r="E59" s="101">
        <v>4</v>
      </c>
      <c r="F59" s="101">
        <v>100</v>
      </c>
      <c r="G59" s="101">
        <v>94</v>
      </c>
      <c r="H59" s="101">
        <v>314</v>
      </c>
    </row>
    <row r="60" spans="1:8" x14ac:dyDescent="0.2">
      <c r="A60" s="102" t="s">
        <v>1525</v>
      </c>
      <c r="B60" s="101">
        <v>240</v>
      </c>
      <c r="C60" s="101" t="s">
        <v>1459</v>
      </c>
      <c r="D60" s="101">
        <v>431</v>
      </c>
      <c r="E60" s="101">
        <v>4</v>
      </c>
      <c r="F60" s="101">
        <v>100</v>
      </c>
      <c r="G60" s="101">
        <v>94</v>
      </c>
      <c r="H60" s="101">
        <v>324</v>
      </c>
    </row>
    <row r="61" spans="1:8" x14ac:dyDescent="0.2">
      <c r="A61" s="102" t="s">
        <v>1526</v>
      </c>
      <c r="B61" s="101">
        <v>272</v>
      </c>
      <c r="C61" s="101" t="s">
        <v>1462</v>
      </c>
      <c r="D61" s="101">
        <v>556</v>
      </c>
      <c r="E61" s="101">
        <v>5</v>
      </c>
      <c r="F61" s="101">
        <v>100</v>
      </c>
      <c r="G61" s="101">
        <v>94</v>
      </c>
      <c r="H61" s="101">
        <v>397</v>
      </c>
    </row>
    <row r="62" spans="1:8" x14ac:dyDescent="0.2">
      <c r="A62" s="102" t="s">
        <v>1527</v>
      </c>
      <c r="B62" s="101">
        <v>304</v>
      </c>
      <c r="C62" s="101" t="s">
        <v>1462</v>
      </c>
      <c r="D62" s="101">
        <v>593</v>
      </c>
      <c r="E62" s="101">
        <v>5</v>
      </c>
      <c r="F62" s="101">
        <v>100</v>
      </c>
      <c r="G62" s="101">
        <v>94</v>
      </c>
      <c r="H62" s="101">
        <v>423</v>
      </c>
    </row>
    <row r="63" spans="1:8" x14ac:dyDescent="0.2">
      <c r="A63" s="102" t="s">
        <v>1528</v>
      </c>
      <c r="B63" s="101">
        <v>336</v>
      </c>
      <c r="C63" s="101" t="s">
        <v>1468</v>
      </c>
      <c r="D63" s="101">
        <v>640</v>
      </c>
      <c r="E63" s="101">
        <v>5.5</v>
      </c>
      <c r="F63" s="101">
        <v>100</v>
      </c>
      <c r="G63" s="101">
        <v>94</v>
      </c>
      <c r="H63" s="101">
        <v>465</v>
      </c>
    </row>
    <row r="64" spans="1:8" x14ac:dyDescent="0.2">
      <c r="A64" s="102" t="s">
        <v>1529</v>
      </c>
      <c r="B64" s="101">
        <v>368</v>
      </c>
      <c r="C64" s="101" t="s">
        <v>1468</v>
      </c>
      <c r="D64" s="101">
        <v>734</v>
      </c>
      <c r="E64" s="101">
        <v>5.5</v>
      </c>
      <c r="F64" s="101">
        <v>100</v>
      </c>
      <c r="G64" s="101">
        <v>94</v>
      </c>
      <c r="H64" s="101">
        <v>534</v>
      </c>
    </row>
    <row r="65" spans="1:8" x14ac:dyDescent="0.2">
      <c r="A65" s="102" t="s">
        <v>1530</v>
      </c>
      <c r="B65" s="101">
        <v>176</v>
      </c>
      <c r="C65" s="101" t="s">
        <v>1459</v>
      </c>
      <c r="D65" s="101">
        <v>325</v>
      </c>
      <c r="E65" s="101">
        <v>4</v>
      </c>
      <c r="F65" s="101">
        <v>125</v>
      </c>
      <c r="G65" s="101">
        <v>94</v>
      </c>
      <c r="H65" s="101">
        <v>259</v>
      </c>
    </row>
    <row r="66" spans="1:8" x14ac:dyDescent="0.2">
      <c r="A66" s="102" t="s">
        <v>1531</v>
      </c>
      <c r="B66" s="101">
        <v>224</v>
      </c>
      <c r="C66" s="101" t="s">
        <v>1459</v>
      </c>
      <c r="D66" s="101">
        <v>410</v>
      </c>
      <c r="E66" s="101">
        <v>4</v>
      </c>
      <c r="F66" s="101">
        <v>125</v>
      </c>
      <c r="G66" s="101">
        <v>94</v>
      </c>
      <c r="H66" s="101">
        <v>314</v>
      </c>
    </row>
    <row r="67" spans="1:8" x14ac:dyDescent="0.2">
      <c r="A67" s="102" t="s">
        <v>1532</v>
      </c>
      <c r="B67" s="101">
        <v>240</v>
      </c>
      <c r="C67" s="101" t="s">
        <v>1459</v>
      </c>
      <c r="D67" s="101">
        <v>431</v>
      </c>
      <c r="E67" s="101">
        <v>4</v>
      </c>
      <c r="F67" s="101">
        <v>125</v>
      </c>
      <c r="G67" s="101">
        <v>94</v>
      </c>
      <c r="H67" s="101">
        <v>324</v>
      </c>
    </row>
    <row r="68" spans="1:8" x14ac:dyDescent="0.2">
      <c r="A68" s="102" t="s">
        <v>1533</v>
      </c>
      <c r="B68" s="101">
        <v>272</v>
      </c>
      <c r="C68" s="101" t="s">
        <v>1462</v>
      </c>
      <c r="D68" s="101">
        <v>556</v>
      </c>
      <c r="E68" s="101">
        <v>5</v>
      </c>
      <c r="F68" s="101">
        <v>150</v>
      </c>
      <c r="G68" s="101">
        <v>94</v>
      </c>
      <c r="H68" s="101">
        <v>397</v>
      </c>
    </row>
    <row r="69" spans="1:8" x14ac:dyDescent="0.2">
      <c r="A69" s="102" t="s">
        <v>1534</v>
      </c>
      <c r="B69" s="101">
        <v>304</v>
      </c>
      <c r="C69" s="101" t="s">
        <v>1462</v>
      </c>
      <c r="D69" s="101">
        <v>593</v>
      </c>
      <c r="E69" s="101">
        <v>5</v>
      </c>
      <c r="F69" s="101">
        <v>150</v>
      </c>
      <c r="G69" s="101">
        <v>94</v>
      </c>
      <c r="H69" s="101">
        <v>423</v>
      </c>
    </row>
    <row r="70" spans="1:8" x14ac:dyDescent="0.2">
      <c r="A70" s="102" t="s">
        <v>1535</v>
      </c>
      <c r="B70" s="101">
        <v>336</v>
      </c>
      <c r="C70" s="101" t="s">
        <v>1468</v>
      </c>
      <c r="D70" s="101">
        <v>640</v>
      </c>
      <c r="E70" s="101">
        <v>5.5</v>
      </c>
      <c r="F70" s="101">
        <v>150</v>
      </c>
      <c r="G70" s="101">
        <v>94</v>
      </c>
      <c r="H70" s="101">
        <v>465</v>
      </c>
    </row>
    <row r="71" spans="1:8" x14ac:dyDescent="0.2">
      <c r="A71" s="102" t="s">
        <v>1536</v>
      </c>
      <c r="B71" s="101">
        <v>368</v>
      </c>
      <c r="C71" s="101" t="s">
        <v>1468</v>
      </c>
      <c r="D71" s="101">
        <v>734</v>
      </c>
      <c r="E71" s="101">
        <v>5.5</v>
      </c>
      <c r="F71" s="101">
        <v>150</v>
      </c>
      <c r="G71" s="101">
        <v>94</v>
      </c>
      <c r="H71" s="101">
        <v>534</v>
      </c>
    </row>
    <row r="72" spans="1:8" x14ac:dyDescent="0.2">
      <c r="A72" s="102" t="s">
        <v>1537</v>
      </c>
      <c r="B72" s="101">
        <v>176</v>
      </c>
      <c r="C72" s="101" t="s">
        <v>1492</v>
      </c>
      <c r="D72" s="101">
        <v>308</v>
      </c>
      <c r="E72" s="101">
        <v>4.5</v>
      </c>
      <c r="F72" s="101">
        <v>100</v>
      </c>
      <c r="G72" s="101">
        <v>94</v>
      </c>
      <c r="H72" s="101">
        <v>290</v>
      </c>
    </row>
    <row r="73" spans="1:8" x14ac:dyDescent="0.2">
      <c r="A73" s="102" t="s">
        <v>1538</v>
      </c>
      <c r="B73" s="101">
        <v>224</v>
      </c>
      <c r="C73" s="101" t="s">
        <v>1494</v>
      </c>
      <c r="D73" s="101">
        <v>622</v>
      </c>
      <c r="E73" s="101">
        <v>5.5</v>
      </c>
      <c r="F73" s="101">
        <v>100</v>
      </c>
      <c r="G73" s="101">
        <v>94</v>
      </c>
      <c r="H73" s="101">
        <v>584</v>
      </c>
    </row>
    <row r="74" spans="1:8" x14ac:dyDescent="0.2">
      <c r="A74" s="102" t="s">
        <v>1539</v>
      </c>
      <c r="B74" s="101">
        <v>240</v>
      </c>
      <c r="C74" s="101" t="s">
        <v>1494</v>
      </c>
      <c r="D74" s="101">
        <v>642</v>
      </c>
      <c r="E74" s="101">
        <v>5.5</v>
      </c>
      <c r="F74" s="101">
        <v>100</v>
      </c>
      <c r="G74" s="101">
        <v>94</v>
      </c>
      <c r="H74" s="101">
        <v>603</v>
      </c>
    </row>
    <row r="75" spans="1:8" x14ac:dyDescent="0.2">
      <c r="A75" s="102" t="s">
        <v>1540</v>
      </c>
      <c r="B75" s="101">
        <v>272</v>
      </c>
      <c r="C75" s="101" t="s">
        <v>1497</v>
      </c>
      <c r="D75" s="101">
        <v>791</v>
      </c>
      <c r="E75" s="101">
        <v>6.8</v>
      </c>
      <c r="F75" s="101">
        <v>100</v>
      </c>
      <c r="G75" s="101">
        <v>94</v>
      </c>
      <c r="H75" s="101">
        <v>704</v>
      </c>
    </row>
    <row r="76" spans="1:8" x14ac:dyDescent="0.2">
      <c r="A76" s="102" t="s">
        <v>1541</v>
      </c>
      <c r="B76" s="101">
        <v>304</v>
      </c>
      <c r="C76" s="101" t="s">
        <v>1497</v>
      </c>
      <c r="D76" s="101">
        <v>843</v>
      </c>
      <c r="E76" s="101">
        <v>6.8</v>
      </c>
      <c r="F76" s="101">
        <v>100</v>
      </c>
      <c r="G76" s="101">
        <v>94</v>
      </c>
      <c r="H76" s="101">
        <v>751</v>
      </c>
    </row>
    <row r="77" spans="1:8" x14ac:dyDescent="0.2">
      <c r="A77" s="102" t="s">
        <v>1542</v>
      </c>
      <c r="B77" s="101">
        <v>336</v>
      </c>
      <c r="C77" s="101" t="s">
        <v>1500</v>
      </c>
      <c r="D77" s="101">
        <v>983</v>
      </c>
      <c r="E77" s="101">
        <v>7.5</v>
      </c>
      <c r="F77" s="101">
        <v>100</v>
      </c>
      <c r="G77" s="101">
        <v>94</v>
      </c>
      <c r="H77" s="101">
        <v>776</v>
      </c>
    </row>
    <row r="78" spans="1:8" x14ac:dyDescent="0.2">
      <c r="A78" s="102" t="s">
        <v>1543</v>
      </c>
      <c r="B78" s="101">
        <v>368</v>
      </c>
      <c r="C78" s="101" t="s">
        <v>1500</v>
      </c>
      <c r="D78" s="101">
        <v>1129</v>
      </c>
      <c r="E78" s="101">
        <v>7.5</v>
      </c>
      <c r="F78" s="101">
        <v>100</v>
      </c>
      <c r="G78" s="101">
        <v>94</v>
      </c>
      <c r="H78" s="101">
        <v>891</v>
      </c>
    </row>
    <row r="79" spans="1:8" x14ac:dyDescent="0.2">
      <c r="A79" s="102" t="s">
        <v>1544</v>
      </c>
      <c r="B79" s="101">
        <v>176</v>
      </c>
      <c r="C79" s="101" t="s">
        <v>1492</v>
      </c>
      <c r="D79" s="101">
        <v>308</v>
      </c>
      <c r="E79" s="101">
        <v>4.5</v>
      </c>
      <c r="F79" s="101">
        <v>125</v>
      </c>
      <c r="G79" s="101">
        <v>94</v>
      </c>
      <c r="H79" s="101">
        <v>290</v>
      </c>
    </row>
    <row r="80" spans="1:8" x14ac:dyDescent="0.2">
      <c r="A80" s="102" t="s">
        <v>1545</v>
      </c>
      <c r="B80" s="101">
        <v>224</v>
      </c>
      <c r="C80" s="101" t="s">
        <v>1494</v>
      </c>
      <c r="D80" s="101">
        <v>622</v>
      </c>
      <c r="E80" s="101">
        <v>5.5</v>
      </c>
      <c r="F80" s="101">
        <v>125</v>
      </c>
      <c r="G80" s="101">
        <v>94</v>
      </c>
      <c r="H80" s="101">
        <v>584</v>
      </c>
    </row>
    <row r="81" spans="1:8" x14ac:dyDescent="0.2">
      <c r="A81" s="102" t="s">
        <v>1546</v>
      </c>
      <c r="B81" s="101">
        <v>240</v>
      </c>
      <c r="C81" s="101" t="s">
        <v>1494</v>
      </c>
      <c r="D81" s="101">
        <v>642</v>
      </c>
      <c r="E81" s="101">
        <v>5.5</v>
      </c>
      <c r="F81" s="101">
        <v>125</v>
      </c>
      <c r="G81" s="101">
        <v>94</v>
      </c>
      <c r="H81" s="101">
        <v>603</v>
      </c>
    </row>
    <row r="82" spans="1:8" x14ac:dyDescent="0.2">
      <c r="A82" s="102" t="s">
        <v>1547</v>
      </c>
      <c r="B82" s="101">
        <v>272</v>
      </c>
      <c r="C82" s="101" t="s">
        <v>1497</v>
      </c>
      <c r="D82" s="101">
        <v>791</v>
      </c>
      <c r="E82" s="101">
        <v>6.8</v>
      </c>
      <c r="F82" s="101">
        <v>150</v>
      </c>
      <c r="G82" s="101">
        <v>94</v>
      </c>
      <c r="H82" s="101">
        <v>704</v>
      </c>
    </row>
    <row r="83" spans="1:8" x14ac:dyDescent="0.2">
      <c r="A83" s="102" t="s">
        <v>1548</v>
      </c>
      <c r="B83" s="101">
        <v>304</v>
      </c>
      <c r="C83" s="101" t="s">
        <v>1497</v>
      </c>
      <c r="D83" s="101">
        <v>843</v>
      </c>
      <c r="E83" s="101">
        <v>6.8</v>
      </c>
      <c r="F83" s="101">
        <v>150</v>
      </c>
      <c r="G83" s="101">
        <v>94</v>
      </c>
      <c r="H83" s="101">
        <v>751</v>
      </c>
    </row>
    <row r="84" spans="1:8" x14ac:dyDescent="0.2">
      <c r="A84" s="102" t="s">
        <v>1549</v>
      </c>
      <c r="B84" s="101">
        <v>336</v>
      </c>
      <c r="C84" s="101" t="s">
        <v>1500</v>
      </c>
      <c r="D84" s="101">
        <v>983</v>
      </c>
      <c r="E84" s="101">
        <v>7.5</v>
      </c>
      <c r="F84" s="101">
        <v>150</v>
      </c>
      <c r="G84" s="101">
        <v>94</v>
      </c>
      <c r="H84" s="101">
        <v>776</v>
      </c>
    </row>
    <row r="85" spans="1:8" x14ac:dyDescent="0.2">
      <c r="A85" s="102" t="s">
        <v>1550</v>
      </c>
      <c r="B85" s="101">
        <v>368</v>
      </c>
      <c r="C85" s="101" t="s">
        <v>1500</v>
      </c>
      <c r="D85" s="101">
        <v>1129</v>
      </c>
      <c r="E85" s="101">
        <v>7.5</v>
      </c>
      <c r="F85" s="101">
        <v>150</v>
      </c>
      <c r="G85" s="101">
        <v>94</v>
      </c>
      <c r="H85" s="101">
        <v>891</v>
      </c>
    </row>
    <row r="102" spans="1:17" x14ac:dyDescent="0.2">
      <c r="A102" s="101" t="s">
        <v>1551</v>
      </c>
      <c r="B102" s="101" t="s">
        <v>1552</v>
      </c>
      <c r="D102" s="102" t="s">
        <v>1553</v>
      </c>
      <c r="E102" s="102" t="s">
        <v>1554</v>
      </c>
      <c r="F102" s="102" t="s">
        <v>1555</v>
      </c>
      <c r="G102" s="102" t="s">
        <v>1556</v>
      </c>
      <c r="H102" s="102" t="s">
        <v>1557</v>
      </c>
      <c r="I102" s="102" t="s">
        <v>1558</v>
      </c>
      <c r="J102" s="102" t="s">
        <v>1559</v>
      </c>
      <c r="K102" s="102" t="s">
        <v>1560</v>
      </c>
      <c r="L102" s="102" t="s">
        <v>1561</v>
      </c>
      <c r="M102" s="102" t="s">
        <v>1562</v>
      </c>
      <c r="N102" s="102" t="s">
        <v>1563</v>
      </c>
      <c r="O102" s="102" t="s">
        <v>1564</v>
      </c>
      <c r="P102" s="102" t="s">
        <v>1565</v>
      </c>
      <c r="Q102" s="102" t="s">
        <v>1566</v>
      </c>
    </row>
    <row r="103" spans="1:17" x14ac:dyDescent="0.2">
      <c r="A103" s="101">
        <v>750</v>
      </c>
      <c r="B103" s="101">
        <v>520</v>
      </c>
      <c r="D103" s="101">
        <v>109</v>
      </c>
      <c r="E103" s="101">
        <v>109</v>
      </c>
      <c r="F103" s="101">
        <v>109</v>
      </c>
      <c r="G103" s="101">
        <v>109</v>
      </c>
      <c r="H103" s="101">
        <v>109</v>
      </c>
      <c r="I103" s="101">
        <v>109</v>
      </c>
      <c r="J103" s="101">
        <v>109</v>
      </c>
      <c r="K103" s="101">
        <v>120</v>
      </c>
      <c r="L103" s="101">
        <v>120</v>
      </c>
      <c r="M103" s="101">
        <v>120</v>
      </c>
      <c r="N103" s="101">
        <v>120</v>
      </c>
      <c r="O103" s="101">
        <v>120</v>
      </c>
      <c r="P103" s="101">
        <v>120</v>
      </c>
      <c r="Q103" s="101">
        <v>120</v>
      </c>
    </row>
    <row r="104" spans="1:17" x14ac:dyDescent="0.2">
      <c r="A104" s="101">
        <v>850</v>
      </c>
      <c r="B104" s="101">
        <v>620</v>
      </c>
      <c r="D104" s="101">
        <v>140</v>
      </c>
      <c r="E104" s="101">
        <v>140</v>
      </c>
      <c r="F104" s="101">
        <v>140</v>
      </c>
      <c r="G104" s="101">
        <v>140</v>
      </c>
      <c r="H104" s="101">
        <v>140</v>
      </c>
      <c r="I104" s="101">
        <v>140</v>
      </c>
      <c r="J104" s="101">
        <v>140</v>
      </c>
      <c r="K104" s="101">
        <v>150</v>
      </c>
      <c r="L104" s="101">
        <v>150</v>
      </c>
      <c r="M104" s="101">
        <v>150</v>
      </c>
      <c r="N104" s="101">
        <v>150</v>
      </c>
      <c r="O104" s="101">
        <v>150</v>
      </c>
      <c r="P104" s="101">
        <v>150</v>
      </c>
      <c r="Q104" s="101">
        <v>150</v>
      </c>
    </row>
    <row r="105" spans="1:17" x14ac:dyDescent="0.2">
      <c r="A105" s="101">
        <v>950</v>
      </c>
      <c r="B105" s="101">
        <v>720</v>
      </c>
      <c r="D105" s="101">
        <v>190</v>
      </c>
      <c r="E105" s="101">
        <v>190</v>
      </c>
      <c r="F105" s="101">
        <v>190</v>
      </c>
      <c r="G105" s="101">
        <v>190</v>
      </c>
      <c r="H105" s="101">
        <v>190</v>
      </c>
      <c r="I105" s="101">
        <v>190</v>
      </c>
      <c r="J105" s="101">
        <v>190</v>
      </c>
      <c r="K105" s="101">
        <v>200</v>
      </c>
      <c r="L105" s="101">
        <v>200</v>
      </c>
      <c r="M105" s="101">
        <v>200</v>
      </c>
      <c r="N105" s="101">
        <v>200</v>
      </c>
      <c r="O105" s="101">
        <v>200</v>
      </c>
      <c r="P105" s="101">
        <v>200</v>
      </c>
      <c r="Q105" s="101">
        <v>200</v>
      </c>
    </row>
    <row r="106" spans="1:17" x14ac:dyDescent="0.2">
      <c r="A106" s="101">
        <v>1050</v>
      </c>
      <c r="B106" s="101">
        <v>820</v>
      </c>
    </row>
    <row r="107" spans="1:17" x14ac:dyDescent="0.2">
      <c r="A107" s="101">
        <v>1150</v>
      </c>
      <c r="B107" s="101">
        <v>920</v>
      </c>
    </row>
    <row r="108" spans="1:17" x14ac:dyDescent="0.2">
      <c r="A108" s="101">
        <v>1250</v>
      </c>
      <c r="B108" s="101">
        <v>1020</v>
      </c>
    </row>
    <row r="109" spans="1:17" x14ac:dyDescent="0.2">
      <c r="A109" s="101">
        <v>1350</v>
      </c>
      <c r="B109" s="101">
        <v>1120</v>
      </c>
    </row>
    <row r="110" spans="1:17" x14ac:dyDescent="0.2">
      <c r="A110" s="101">
        <v>1550</v>
      </c>
      <c r="B110" s="101">
        <v>1350</v>
      </c>
    </row>
    <row r="111" spans="1:17" x14ac:dyDescent="0.2">
      <c r="A111" s="101">
        <v>1750</v>
      </c>
      <c r="B111" s="101">
        <v>1520</v>
      </c>
    </row>
    <row r="112" spans="1:17" x14ac:dyDescent="0.2">
      <c r="A112" s="101">
        <v>1950</v>
      </c>
      <c r="B112" s="101">
        <v>1720</v>
      </c>
    </row>
    <row r="113" spans="1:2" x14ac:dyDescent="0.2">
      <c r="A113" s="101">
        <v>2150</v>
      </c>
      <c r="B113" s="101">
        <v>1920</v>
      </c>
    </row>
    <row r="114" spans="1:2" x14ac:dyDescent="0.2">
      <c r="A114" s="101">
        <v>2350</v>
      </c>
      <c r="B114" s="101">
        <v>2120</v>
      </c>
    </row>
    <row r="115" spans="1:2" x14ac:dyDescent="0.2">
      <c r="A115" s="101">
        <v>2550</v>
      </c>
      <c r="B115" s="101">
        <v>2320</v>
      </c>
    </row>
    <row r="116" spans="1:2" x14ac:dyDescent="0.2">
      <c r="A116" s="101">
        <v>2750</v>
      </c>
      <c r="B116" s="101">
        <v>2520</v>
      </c>
    </row>
    <row r="117" spans="1:2" x14ac:dyDescent="0.2">
      <c r="A117" s="101">
        <v>2950</v>
      </c>
      <c r="B117" s="101">
        <v>2720</v>
      </c>
    </row>
    <row r="118" spans="1:2" x14ac:dyDescent="0.2">
      <c r="A118" s="101">
        <v>3150</v>
      </c>
      <c r="B118" s="101">
        <v>2920</v>
      </c>
    </row>
    <row r="119" spans="1:2" x14ac:dyDescent="0.2">
      <c r="A119" s="101">
        <v>3350</v>
      </c>
      <c r="B119" s="101">
        <v>3120</v>
      </c>
    </row>
    <row r="120" spans="1:2" x14ac:dyDescent="0.2">
      <c r="A120" s="101">
        <v>3550</v>
      </c>
      <c r="B120" s="101">
        <v>3320</v>
      </c>
    </row>
    <row r="121" spans="1:2" x14ac:dyDescent="0.2">
      <c r="A121" s="101">
        <v>3750</v>
      </c>
      <c r="B121" s="101">
        <v>3520</v>
      </c>
    </row>
    <row r="122" spans="1:2" x14ac:dyDescent="0.2">
      <c r="A122" s="101">
        <v>3950</v>
      </c>
      <c r="B122" s="101">
        <v>3720</v>
      </c>
    </row>
    <row r="123" spans="1:2" x14ac:dyDescent="0.2">
      <c r="A123" s="101">
        <v>4150</v>
      </c>
      <c r="B123" s="101">
        <v>3920</v>
      </c>
    </row>
    <row r="124" spans="1:2" x14ac:dyDescent="0.2">
      <c r="A124" s="101">
        <v>4350</v>
      </c>
      <c r="B124" s="101">
        <v>4120</v>
      </c>
    </row>
    <row r="125" spans="1:2" x14ac:dyDescent="0.2">
      <c r="A125" s="101">
        <v>4550</v>
      </c>
      <c r="B125" s="101">
        <v>4350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53"/>
  <sheetViews>
    <sheetView workbookViewId="0">
      <selection activeCell="A53" sqref="A53"/>
    </sheetView>
  </sheetViews>
  <sheetFormatPr baseColWidth="10" defaultRowHeight="15" x14ac:dyDescent="0.25"/>
  <cols>
    <col min="2" max="2" width="18.140625" customWidth="1"/>
    <col min="3" max="3" width="16.7109375" customWidth="1"/>
  </cols>
  <sheetData>
    <row r="1" spans="1:3" x14ac:dyDescent="0.25">
      <c r="B1" t="s">
        <v>939</v>
      </c>
      <c r="C1" t="s">
        <v>940</v>
      </c>
    </row>
    <row r="2" spans="1:3" x14ac:dyDescent="0.25">
      <c r="A2">
        <v>1</v>
      </c>
      <c r="B2" t="s">
        <v>1017</v>
      </c>
      <c r="C2" t="s">
        <v>950</v>
      </c>
    </row>
    <row r="3" spans="1:3" x14ac:dyDescent="0.25">
      <c r="A3">
        <v>2</v>
      </c>
      <c r="B3" t="s">
        <v>941</v>
      </c>
      <c r="C3" t="s">
        <v>951</v>
      </c>
    </row>
    <row r="4" spans="1:3" x14ac:dyDescent="0.25">
      <c r="A4">
        <v>3</v>
      </c>
      <c r="B4" t="s">
        <v>1007</v>
      </c>
      <c r="C4" t="s">
        <v>1008</v>
      </c>
    </row>
    <row r="5" spans="1:3" x14ac:dyDescent="0.25">
      <c r="A5">
        <v>4</v>
      </c>
      <c r="B5" t="s">
        <v>943</v>
      </c>
      <c r="C5" t="s">
        <v>1021</v>
      </c>
    </row>
    <row r="6" spans="1:3" x14ac:dyDescent="0.25">
      <c r="A6">
        <v>5</v>
      </c>
      <c r="B6" t="s">
        <v>1018</v>
      </c>
      <c r="C6" t="s">
        <v>1013</v>
      </c>
    </row>
    <row r="7" spans="1:3" x14ac:dyDescent="0.25">
      <c r="A7">
        <v>6</v>
      </c>
      <c r="B7" t="s">
        <v>1019</v>
      </c>
      <c r="C7" t="s">
        <v>1014</v>
      </c>
    </row>
    <row r="8" spans="1:3" x14ac:dyDescent="0.25">
      <c r="A8">
        <v>7</v>
      </c>
      <c r="B8" t="s">
        <v>948</v>
      </c>
      <c r="C8" t="s">
        <v>952</v>
      </c>
    </row>
    <row r="9" spans="1:3" x14ac:dyDescent="0.25">
      <c r="A9">
        <v>8</v>
      </c>
      <c r="B9" t="s">
        <v>949</v>
      </c>
      <c r="C9" t="s">
        <v>953</v>
      </c>
    </row>
    <row r="10" spans="1:3" x14ac:dyDescent="0.25">
      <c r="A10">
        <v>9</v>
      </c>
      <c r="B10" t="s">
        <v>968</v>
      </c>
      <c r="C10" t="s">
        <v>969</v>
      </c>
    </row>
    <row r="11" spans="1:3" x14ac:dyDescent="0.25">
      <c r="A11">
        <v>10</v>
      </c>
      <c r="B11" t="s">
        <v>1100</v>
      </c>
      <c r="C11" t="s">
        <v>1101</v>
      </c>
    </row>
    <row r="12" spans="1:3" x14ac:dyDescent="0.25">
      <c r="A12">
        <v>11</v>
      </c>
      <c r="B12" t="s">
        <v>979</v>
      </c>
      <c r="C12" s="27" t="s">
        <v>980</v>
      </c>
    </row>
    <row r="13" spans="1:3" x14ac:dyDescent="0.25">
      <c r="A13">
        <v>12</v>
      </c>
      <c r="B13" t="s">
        <v>981</v>
      </c>
      <c r="C13" s="28" t="s">
        <v>982</v>
      </c>
    </row>
    <row r="14" spans="1:3" x14ac:dyDescent="0.25">
      <c r="A14">
        <v>13</v>
      </c>
      <c r="B14" t="s">
        <v>983</v>
      </c>
      <c r="C14" s="27" t="s">
        <v>984</v>
      </c>
    </row>
    <row r="15" spans="1:3" x14ac:dyDescent="0.25">
      <c r="A15">
        <v>14</v>
      </c>
      <c r="B15" t="s">
        <v>1102</v>
      </c>
      <c r="C15" t="s">
        <v>1103</v>
      </c>
    </row>
    <row r="16" spans="1:3" x14ac:dyDescent="0.25">
      <c r="A16">
        <v>15</v>
      </c>
      <c r="B16" s="27" t="s">
        <v>1106</v>
      </c>
      <c r="C16" s="27" t="s">
        <v>1107</v>
      </c>
    </row>
    <row r="17" spans="1:3" x14ac:dyDescent="0.25">
      <c r="A17">
        <v>16</v>
      </c>
      <c r="B17" s="27" t="s">
        <v>1038</v>
      </c>
      <c r="C17" s="27" t="s">
        <v>1042</v>
      </c>
    </row>
    <row r="18" spans="1:3" x14ac:dyDescent="0.25">
      <c r="A18">
        <v>17</v>
      </c>
      <c r="B18" t="s">
        <v>1040</v>
      </c>
      <c r="C18" t="s">
        <v>1041</v>
      </c>
    </row>
    <row r="19" spans="1:3" x14ac:dyDescent="0.25">
      <c r="A19">
        <v>18</v>
      </c>
      <c r="B19" t="s">
        <v>936</v>
      </c>
      <c r="C19" s="27" t="s">
        <v>1047</v>
      </c>
    </row>
    <row r="20" spans="1:3" x14ac:dyDescent="0.25">
      <c r="A20">
        <v>19</v>
      </c>
      <c r="B20" t="s">
        <v>937</v>
      </c>
      <c r="C20" s="27" t="s">
        <v>1048</v>
      </c>
    </row>
    <row r="21" spans="1:3" x14ac:dyDescent="0.25">
      <c r="A21">
        <v>20</v>
      </c>
      <c r="B21" t="s">
        <v>1120</v>
      </c>
      <c r="C21" t="s">
        <v>955</v>
      </c>
    </row>
    <row r="22" spans="1:3" x14ac:dyDescent="0.25">
      <c r="A22">
        <v>21</v>
      </c>
      <c r="B22" t="s">
        <v>1121</v>
      </c>
      <c r="C22" t="s">
        <v>956</v>
      </c>
    </row>
    <row r="23" spans="1:3" x14ac:dyDescent="0.25">
      <c r="A23">
        <v>22</v>
      </c>
      <c r="B23" t="s">
        <v>1016</v>
      </c>
      <c r="C23" t="s">
        <v>950</v>
      </c>
    </row>
    <row r="24" spans="1:3" x14ac:dyDescent="0.25">
      <c r="A24">
        <v>23</v>
      </c>
      <c r="B24" t="s">
        <v>1122</v>
      </c>
      <c r="C24" t="s">
        <v>1123</v>
      </c>
    </row>
    <row r="25" spans="1:3" x14ac:dyDescent="0.25">
      <c r="A25">
        <v>24</v>
      </c>
      <c r="B25" t="s">
        <v>1125</v>
      </c>
      <c r="C25" t="s">
        <v>1126</v>
      </c>
    </row>
    <row r="26" spans="1:3" x14ac:dyDescent="0.25">
      <c r="A26">
        <v>25</v>
      </c>
      <c r="B26" t="s">
        <v>957</v>
      </c>
      <c r="C26" t="s">
        <v>960</v>
      </c>
    </row>
    <row r="27" spans="1:3" x14ac:dyDescent="0.25">
      <c r="A27">
        <v>26</v>
      </c>
      <c r="B27" t="s">
        <v>1096</v>
      </c>
      <c r="C27" t="s">
        <v>1097</v>
      </c>
    </row>
    <row r="28" spans="1:3" x14ac:dyDescent="0.25">
      <c r="A28">
        <v>27</v>
      </c>
      <c r="B28" t="s">
        <v>959</v>
      </c>
      <c r="C28" t="s">
        <v>961</v>
      </c>
    </row>
    <row r="29" spans="1:3" x14ac:dyDescent="0.25">
      <c r="A29">
        <v>28</v>
      </c>
      <c r="B29" t="s">
        <v>1116</v>
      </c>
      <c r="C29" t="s">
        <v>1117</v>
      </c>
    </row>
    <row r="30" spans="1:3" x14ac:dyDescent="0.25">
      <c r="A30">
        <v>29</v>
      </c>
      <c r="B30" s="26" t="s">
        <v>977</v>
      </c>
      <c r="C30" s="26" t="s">
        <v>978</v>
      </c>
    </row>
    <row r="31" spans="1:3" x14ac:dyDescent="0.25">
      <c r="A31">
        <v>30</v>
      </c>
      <c r="B31" t="s">
        <v>979</v>
      </c>
      <c r="C31" s="27" t="s">
        <v>980</v>
      </c>
    </row>
    <row r="32" spans="1:3" x14ac:dyDescent="0.25">
      <c r="A32">
        <v>31</v>
      </c>
      <c r="B32" t="s">
        <v>981</v>
      </c>
      <c r="C32" s="28" t="s">
        <v>982</v>
      </c>
    </row>
    <row r="33" spans="1:3" x14ac:dyDescent="0.25">
      <c r="A33">
        <v>32</v>
      </c>
      <c r="B33" t="s">
        <v>983</v>
      </c>
      <c r="C33" s="27" t="s">
        <v>984</v>
      </c>
    </row>
    <row r="34" spans="1:3" x14ac:dyDescent="0.25">
      <c r="A34">
        <v>33</v>
      </c>
      <c r="B34" s="27" t="s">
        <v>985</v>
      </c>
      <c r="C34" s="27" t="s">
        <v>986</v>
      </c>
    </row>
    <row r="35" spans="1:3" x14ac:dyDescent="0.25">
      <c r="A35">
        <v>34</v>
      </c>
      <c r="B35" s="27" t="s">
        <v>1104</v>
      </c>
      <c r="C35" s="27" t="s">
        <v>1009</v>
      </c>
    </row>
    <row r="36" spans="1:3" x14ac:dyDescent="0.25">
      <c r="A36">
        <v>35</v>
      </c>
      <c r="B36" s="27" t="s">
        <v>1105</v>
      </c>
      <c r="C36" s="27" t="s">
        <v>1010</v>
      </c>
    </row>
    <row r="37" spans="1:3" x14ac:dyDescent="0.25">
      <c r="A37">
        <v>36</v>
      </c>
      <c r="B37" s="27" t="s">
        <v>1108</v>
      </c>
      <c r="C37" s="27" t="s">
        <v>1011</v>
      </c>
    </row>
    <row r="38" spans="1:3" x14ac:dyDescent="0.25">
      <c r="A38">
        <v>37</v>
      </c>
      <c r="B38" s="27" t="s">
        <v>1109</v>
      </c>
      <c r="C38" s="27" t="s">
        <v>1012</v>
      </c>
    </row>
    <row r="39" spans="1:3" x14ac:dyDescent="0.25">
      <c r="A39">
        <v>38</v>
      </c>
      <c r="B39" s="27" t="s">
        <v>1015</v>
      </c>
      <c r="C39" s="27" t="s">
        <v>987</v>
      </c>
    </row>
    <row r="40" spans="1:3" x14ac:dyDescent="0.25">
      <c r="A40">
        <v>39</v>
      </c>
      <c r="B40" s="27" t="s">
        <v>1037</v>
      </c>
      <c r="C40" s="27" t="s">
        <v>1043</v>
      </c>
    </row>
    <row r="41" spans="1:3" x14ac:dyDescent="0.25">
      <c r="A41">
        <v>40</v>
      </c>
      <c r="B41" s="27" t="s">
        <v>1045</v>
      </c>
      <c r="C41" s="27" t="s">
        <v>1046</v>
      </c>
    </row>
    <row r="42" spans="1:3" x14ac:dyDescent="0.25">
      <c r="A42">
        <v>41</v>
      </c>
      <c r="B42" s="27" t="s">
        <v>1098</v>
      </c>
      <c r="C42" s="27" t="s">
        <v>1099</v>
      </c>
    </row>
    <row r="43" spans="1:3" x14ac:dyDescent="0.25">
      <c r="A43">
        <v>42</v>
      </c>
      <c r="B43" s="27" t="s">
        <v>1049</v>
      </c>
      <c r="C43" s="27" t="s">
        <v>1051</v>
      </c>
    </row>
    <row r="44" spans="1:3" x14ac:dyDescent="0.25">
      <c r="A44">
        <v>43</v>
      </c>
      <c r="B44" s="27" t="s">
        <v>938</v>
      </c>
      <c r="C44" s="27" t="s">
        <v>1092</v>
      </c>
    </row>
    <row r="45" spans="1:3" x14ac:dyDescent="0.25">
      <c r="A45">
        <v>44</v>
      </c>
      <c r="B45" s="27" t="s">
        <v>1570</v>
      </c>
      <c r="C45" s="27" t="s">
        <v>1093</v>
      </c>
    </row>
    <row r="46" spans="1:3" x14ac:dyDescent="0.25">
      <c r="A46">
        <v>45</v>
      </c>
      <c r="B46" s="27" t="s">
        <v>1571</v>
      </c>
      <c r="C46" s="27" t="s">
        <v>1094</v>
      </c>
    </row>
    <row r="47" spans="1:3" x14ac:dyDescent="0.25">
      <c r="A47">
        <v>46</v>
      </c>
      <c r="B47" s="27" t="s">
        <v>1572</v>
      </c>
      <c r="C47" s="27" t="s">
        <v>1095</v>
      </c>
    </row>
    <row r="48" spans="1:3" x14ac:dyDescent="0.25">
      <c r="A48">
        <v>93</v>
      </c>
      <c r="B48" s="27" t="s">
        <v>1113</v>
      </c>
      <c r="C48" s="27" t="s">
        <v>1114</v>
      </c>
    </row>
    <row r="49" spans="1:3" x14ac:dyDescent="0.25">
      <c r="A49">
        <v>94</v>
      </c>
      <c r="B49" s="27" t="s">
        <v>1115</v>
      </c>
      <c r="C49" s="27" t="s">
        <v>1130</v>
      </c>
    </row>
    <row r="50" spans="1:3" x14ac:dyDescent="0.25">
      <c r="A50">
        <v>95</v>
      </c>
      <c r="B50" s="27" t="s">
        <v>1132</v>
      </c>
      <c r="C50" s="27" t="s">
        <v>1127</v>
      </c>
    </row>
    <row r="51" spans="1:3" x14ac:dyDescent="0.25">
      <c r="A51">
        <v>96</v>
      </c>
      <c r="B51" s="27" t="s">
        <v>1118</v>
      </c>
      <c r="C51" s="27" t="s">
        <v>1119</v>
      </c>
    </row>
    <row r="52" spans="1:3" x14ac:dyDescent="0.25">
      <c r="A52">
        <v>97</v>
      </c>
      <c r="B52" s="27" t="s">
        <v>1129</v>
      </c>
      <c r="C52" s="27" t="s">
        <v>1131</v>
      </c>
    </row>
    <row r="53" spans="1:3" x14ac:dyDescent="0.25">
      <c r="A53">
        <v>98</v>
      </c>
      <c r="B53" t="s">
        <v>1574</v>
      </c>
      <c r="C53" t="s">
        <v>1573</v>
      </c>
    </row>
  </sheetData>
  <pageMargins left="0.7" right="0.7" top="0.75" bottom="0.75" header="0.3" footer="0.3"/>
  <pageSetup paperSize="9" orientation="portrait" horizont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8ABF1-788F-4090-857D-FE047805E1B1}">
  <dimension ref="A1:AK41"/>
  <sheetViews>
    <sheetView showGridLines="0" showRowColHeaders="0" workbookViewId="0">
      <selection activeCell="G3" sqref="G3:H3"/>
    </sheetView>
  </sheetViews>
  <sheetFormatPr baseColWidth="10" defaultColWidth="0" defaultRowHeight="12.75" zeroHeight="1" x14ac:dyDescent="0.2"/>
  <cols>
    <col min="1" max="1" width="2.7109375" style="101" customWidth="1"/>
    <col min="2" max="2" width="7.42578125" style="101" customWidth="1"/>
    <col min="3" max="3" width="9.42578125" style="101" customWidth="1"/>
    <col min="4" max="4" width="9.85546875" style="101" customWidth="1"/>
    <col min="5" max="6" width="11.140625" style="101" customWidth="1"/>
    <col min="7" max="7" width="11.85546875" style="140" customWidth="1"/>
    <col min="8" max="8" width="11.7109375" style="140" customWidth="1"/>
    <col min="9" max="9" width="11.140625" style="140" customWidth="1"/>
    <col min="10" max="10" width="10.85546875" style="140" customWidth="1"/>
    <col min="11" max="11" width="7.5703125" style="140" customWidth="1"/>
    <col min="12" max="12" width="10.7109375" style="140" customWidth="1"/>
    <col min="13" max="13" width="12" style="140" customWidth="1"/>
    <col min="14" max="14" width="11.42578125" style="101" customWidth="1"/>
    <col min="15" max="15" width="2.7109375" style="101" customWidth="1"/>
    <col min="16" max="16" width="14.5703125" style="101" hidden="1" customWidth="1"/>
    <col min="17" max="29" width="11.42578125" style="101" hidden="1" customWidth="1"/>
    <col min="30" max="35" width="11.5703125" style="101" hidden="1" customWidth="1"/>
    <col min="36" max="37" width="0" style="101" hidden="1" customWidth="1"/>
    <col min="38" max="16384" width="11.42578125" style="101" hidden="1"/>
  </cols>
  <sheetData>
    <row r="1" spans="2:37" x14ac:dyDescent="0.2"/>
    <row r="2" spans="2:37" ht="15" x14ac:dyDescent="0.25">
      <c r="B2"/>
      <c r="D2" s="509" t="s">
        <v>936</v>
      </c>
      <c r="E2" s="509"/>
      <c r="F2" s="283" t="s">
        <v>938</v>
      </c>
    </row>
    <row r="3" spans="2:37" ht="23.25" x14ac:dyDescent="0.35">
      <c r="B3" s="453" t="s">
        <v>933</v>
      </c>
      <c r="C3" s="453"/>
      <c r="D3" s="510">
        <v>75</v>
      </c>
      <c r="E3" s="510"/>
      <c r="F3" s="432">
        <v>2</v>
      </c>
    </row>
    <row r="4" spans="2:37" ht="23.25" x14ac:dyDescent="0.35">
      <c r="B4" s="453" t="s">
        <v>934</v>
      </c>
      <c r="C4" s="453"/>
      <c r="D4" s="510">
        <v>65</v>
      </c>
      <c r="E4" s="510"/>
      <c r="F4" s="432"/>
      <c r="H4" s="287" t="str">
        <f>IF(OR((D3-D4)&lt;3,(D4-D5)&lt;3,(D3-D4)&gt;25,D5&lt;15),"Bitte überprüfen Sie ihre Eingaben!","")</f>
        <v/>
      </c>
    </row>
    <row r="5" spans="2:37" ht="23.25" x14ac:dyDescent="0.35">
      <c r="B5" s="453" t="s">
        <v>935</v>
      </c>
      <c r="C5" s="453"/>
      <c r="D5" s="510">
        <v>20</v>
      </c>
      <c r="E5" s="510"/>
      <c r="F5" s="432"/>
    </row>
    <row r="6" spans="2:37" x14ac:dyDescent="0.2"/>
    <row r="7" spans="2:37" ht="29.45" customHeight="1" x14ac:dyDescent="0.3">
      <c r="B7" s="506" t="str">
        <f>VLOOKUP(73,TXT,$F$3,0)</f>
        <v>Bodenkonvektor ARIA</v>
      </c>
      <c r="C7" s="506"/>
      <c r="D7" s="506"/>
      <c r="E7" s="506"/>
      <c r="F7" s="507" t="str">
        <f>VLOOKUP(74,TXT,$F$3,0)</f>
        <v>mit Primärlufteinführung</v>
      </c>
      <c r="G7" s="507"/>
      <c r="H7" s="507"/>
      <c r="I7" s="507"/>
      <c r="J7" s="507"/>
      <c r="K7" s="507"/>
      <c r="L7" s="507"/>
      <c r="M7" s="507"/>
      <c r="N7" s="507"/>
      <c r="P7" s="101" t="s">
        <v>1423</v>
      </c>
      <c r="Q7" s="101">
        <f>VLOOKUP(ROUND(((($D$3+$D$4)/2)-$D$5),3),FAKT_C109,3,-1)</f>
        <v>1</v>
      </c>
      <c r="V7" s="227"/>
      <c r="AD7" s="227"/>
      <c r="AE7" s="227"/>
    </row>
    <row r="8" spans="2:37" x14ac:dyDescent="0.2">
      <c r="V8" s="227"/>
      <c r="AD8" s="227"/>
      <c r="AE8" s="227"/>
    </row>
    <row r="9" spans="2:37" ht="15.6" customHeight="1" x14ac:dyDescent="0.2">
      <c r="B9" s="518" t="s">
        <v>1424</v>
      </c>
      <c r="C9" s="515" t="str">
        <f>VLOOKUP(75,TXT,$F$3,0)</f>
        <v>Gesamte Luftmenge</v>
      </c>
      <c r="D9" s="515" t="str">
        <f>VLOOKUP(76,TXT,$F$3,0)</f>
        <v>Anzahl Luftanschl.</v>
      </c>
      <c r="E9" s="515" t="str">
        <f>VLOOKUP(77,TXT,$F$3,0)</f>
        <v>Grösse Luftanschlüsse</v>
      </c>
      <c r="F9" s="515" t="str">
        <f>VLOOKUP(78,TXT,$F$3,0)</f>
        <v>Zuluft Einfuhr</v>
      </c>
      <c r="G9" s="515" t="str">
        <f>VLOOKUP(9,TXT,$F$3,0)</f>
        <v>Modell</v>
      </c>
      <c r="H9" s="515" t="str">
        <f>VLOOKUP(1,TXT,$F$3,0)</f>
        <v>Wanne Bk [mm]</v>
      </c>
      <c r="I9" s="508" t="str">
        <f>VLOOKUP(18,TXT,$F$3,0)</f>
        <v>Höhe [mm]</v>
      </c>
      <c r="J9" s="508" t="str">
        <f>VLOOKUP(17,TXT,$F$3,0)</f>
        <v>Breite B [mm]</v>
      </c>
      <c r="K9" s="516" t="str">
        <f>VLOOKUP(81,TXT,$F$3,0)</f>
        <v>Heizelement</v>
      </c>
      <c r="L9" s="516"/>
      <c r="M9" s="517" t="str">
        <f>VLOOKUP(80,TXT,$F$3,0)</f>
        <v>Länge belüftet v [mm]</v>
      </c>
      <c r="N9" s="508" t="str">
        <f>VLOOKUP(13,TXT,$F$3,0)</f>
        <v>Leistungen [W]</v>
      </c>
      <c r="P9" s="101" t="s">
        <v>1425</v>
      </c>
      <c r="Q9" s="101">
        <f>VLOOKUP(ROUND(((($D$3+$D$4)/2)-$D$5),3),FAKT_C109,2,-1)</f>
        <v>1</v>
      </c>
    </row>
    <row r="10" spans="2:37" ht="13.15" customHeight="1" x14ac:dyDescent="0.2">
      <c r="B10" s="518"/>
      <c r="C10" s="515"/>
      <c r="D10" s="515"/>
      <c r="E10" s="515"/>
      <c r="F10" s="515"/>
      <c r="G10" s="515"/>
      <c r="H10" s="515"/>
      <c r="I10" s="508"/>
      <c r="J10" s="508"/>
      <c r="K10" s="277" t="str">
        <f>VLOOKUP(79,TXT,$F$3,0)</f>
        <v>Typ</v>
      </c>
      <c r="L10" s="278" t="s">
        <v>1426</v>
      </c>
      <c r="M10" s="517"/>
      <c r="N10" s="508"/>
      <c r="P10" s="228" t="s">
        <v>1427</v>
      </c>
      <c r="Q10" s="228" t="s">
        <v>1428</v>
      </c>
      <c r="R10" s="228" t="s">
        <v>1429</v>
      </c>
      <c r="S10" s="228" t="s">
        <v>1430</v>
      </c>
      <c r="T10" s="228" t="s">
        <v>1431</v>
      </c>
      <c r="U10" s="228" t="s">
        <v>1432</v>
      </c>
      <c r="V10" s="228" t="s">
        <v>1433</v>
      </c>
      <c r="W10" s="228" t="s">
        <v>1434</v>
      </c>
      <c r="X10" s="228" t="s">
        <v>1435</v>
      </c>
      <c r="Y10" s="228" t="s">
        <v>1436</v>
      </c>
      <c r="Z10" s="228" t="s">
        <v>1437</v>
      </c>
      <c r="AA10" s="228" t="s">
        <v>1438</v>
      </c>
      <c r="AB10" s="228" t="s">
        <v>1439</v>
      </c>
      <c r="AC10" s="228" t="s">
        <v>1440</v>
      </c>
      <c r="AD10" s="229" t="s">
        <v>1441</v>
      </c>
      <c r="AE10" s="229" t="s">
        <v>1442</v>
      </c>
      <c r="AF10" s="229" t="s">
        <v>1443</v>
      </c>
      <c r="AG10" s="229" t="s">
        <v>1444</v>
      </c>
      <c r="AH10" s="229" t="s">
        <v>1445</v>
      </c>
      <c r="AI10" s="229" t="s">
        <v>1446</v>
      </c>
      <c r="AJ10" s="229" t="s">
        <v>1447</v>
      </c>
      <c r="AK10" s="102"/>
    </row>
    <row r="11" spans="2:37" x14ac:dyDescent="0.2">
      <c r="B11" s="289"/>
      <c r="C11" s="290"/>
      <c r="D11" s="291"/>
      <c r="E11" s="292"/>
      <c r="F11" s="291"/>
      <c r="G11" s="293"/>
      <c r="H11" s="294"/>
      <c r="I11" s="294"/>
      <c r="J11" s="148" t="str">
        <f t="shared" ref="J11:J30" si="0">IF(ISBLANK(I11),"",VLOOKUP(P11,BASE_CVP,2,0))</f>
        <v/>
      </c>
      <c r="K11" s="140" t="str">
        <f t="shared" ref="K11:K30" si="1">IF(ISBLANK(I11),"",VLOOKUP(P11,BASE_CVP,3,0))</f>
        <v/>
      </c>
      <c r="L11" s="148" t="str">
        <f t="shared" ref="L11:L30" si="2">IF(ISBLANK(I11),"",VLOOKUP(H11,CVP_L,2,-1))</f>
        <v/>
      </c>
      <c r="M11" s="294" t="str">
        <f t="shared" ref="M11:M30" si="3">IF(ISBLANK(I11),"",IF(D11&gt;0,SUM(L11-Q11-(R11)),1))</f>
        <v/>
      </c>
      <c r="N11" s="230" t="str">
        <f t="shared" ref="N11:N30" si="4">IF(ISBLANK(I11),"",ROUND((AG11+AH11+AI11),0))</f>
        <v/>
      </c>
      <c r="P11" s="101" t="str">
        <f t="shared" ref="P11:P30" si="5">CONCATENATE(SUBSTITUTE(G11," ",""),I11,LEFT(F11,1))</f>
        <v/>
      </c>
      <c r="Q11" s="101">
        <v>110</v>
      </c>
      <c r="R11" s="101">
        <f t="shared" ref="R11:R30" si="6">IF(F11="Unten",D11*E11,0)</f>
        <v>0</v>
      </c>
      <c r="S11" s="103" t="e">
        <f t="shared" ref="S11:S30" si="7">SUM(L11-Q11)</f>
        <v>#VALUE!</v>
      </c>
      <c r="T11" s="103">
        <f t="shared" ref="T11:T30" si="8">SUM(M11)</f>
        <v>0</v>
      </c>
      <c r="U11" s="103" t="e">
        <f t="shared" ref="U11:U30" si="9">SUM(S11-R11-M11)</f>
        <v>#VALUE!</v>
      </c>
      <c r="V11" s="227" t="e">
        <f t="shared" ref="V11:V30" si="10">IF(SUM(C11/M11)*1000&gt;C11,C11,SUM(C11/M11)*1000)</f>
        <v>#VALUE!</v>
      </c>
      <c r="W11" s="101" t="e">
        <f t="shared" ref="W11:W30" si="11">VLOOKUP(P11,BASE_CVP,8,0)</f>
        <v>#N/A</v>
      </c>
      <c r="X11" s="101" t="e">
        <f t="shared" ref="X11" si="12">VLOOKUP(P11,BASE_CVP,5,0)</f>
        <v>#N/A</v>
      </c>
      <c r="Y11" s="101" t="e">
        <f t="shared" ref="Y11:Y30" si="13">VLOOKUP(P11,BASE_CVP,7,0)</f>
        <v>#N/A</v>
      </c>
      <c r="Z11" s="103" t="e">
        <f t="shared" ref="Z11:Z30" si="14">SUM((C11/D11)/SUMSQ(E11/1000)/3600)</f>
        <v>#DIV/0!</v>
      </c>
      <c r="AA11" s="101" t="e">
        <f t="shared" ref="AA11:AA30" si="15">VLOOKUP(P11,BASE_CVP,6,0)</f>
        <v>#N/A</v>
      </c>
      <c r="AB11" s="101" t="e">
        <f t="shared" ref="AB11:AB30" si="16">VLOOKUP(P11,BASE_CVP,4,0)</f>
        <v>#N/A</v>
      </c>
      <c r="AC11" s="101" t="e">
        <f t="shared" ref="AC11:AC30" si="17">ROUND(D11*R11*AB11/1000,0)</f>
        <v>#N/A</v>
      </c>
      <c r="AD11" s="231">
        <f t="shared" ref="AD11:AD30" si="18">IF( D11&gt;0,SUM(C11*X11),0)</f>
        <v>0</v>
      </c>
      <c r="AE11" s="231" t="e">
        <f t="shared" ref="AE11:AE30" si="19">SUM(M11*W11)/1000</f>
        <v>#VALUE!</v>
      </c>
      <c r="AF11" s="231" t="e">
        <f>SUM(U11*AB11)/1000</f>
        <v>#VALUE!</v>
      </c>
      <c r="AG11" s="232">
        <f>SUM(AD11*$Q$7)</f>
        <v>0</v>
      </c>
      <c r="AH11" s="101" t="e">
        <f t="shared" ref="AH11:AH30" si="20">IF(V11&gt;20,AE11*$Q$7,AE11*$Q$9)</f>
        <v>#VALUE!</v>
      </c>
      <c r="AI11" s="232" t="e">
        <f>SUM(AF11*$Q$9)</f>
        <v>#VALUE!</v>
      </c>
      <c r="AJ11" s="101" t="str">
        <f>LEFT(CONCATENATE(SUBSTITUTE(G11," ","")),8)</f>
        <v/>
      </c>
    </row>
    <row r="12" spans="2:37" x14ac:dyDescent="0.2">
      <c r="B12" s="295"/>
      <c r="C12" s="296"/>
      <c r="D12" s="297"/>
      <c r="E12" s="298"/>
      <c r="F12" s="297"/>
      <c r="G12" s="299"/>
      <c r="H12" s="300"/>
      <c r="I12" s="300"/>
      <c r="J12" s="279" t="str">
        <f t="shared" si="0"/>
        <v/>
      </c>
      <c r="K12" s="280" t="str">
        <f t="shared" si="1"/>
        <v/>
      </c>
      <c r="L12" s="279" t="str">
        <f t="shared" si="2"/>
        <v/>
      </c>
      <c r="M12" s="300" t="str">
        <f t="shared" si="3"/>
        <v/>
      </c>
      <c r="N12" s="281" t="str">
        <f t="shared" si="4"/>
        <v/>
      </c>
      <c r="P12" s="101" t="str">
        <f t="shared" si="5"/>
        <v/>
      </c>
      <c r="Q12" s="101">
        <v>110</v>
      </c>
      <c r="R12" s="101">
        <f t="shared" si="6"/>
        <v>0</v>
      </c>
      <c r="S12" s="103" t="e">
        <f t="shared" si="7"/>
        <v>#VALUE!</v>
      </c>
      <c r="T12" s="103">
        <f t="shared" si="8"/>
        <v>0</v>
      </c>
      <c r="U12" s="103" t="e">
        <f t="shared" si="9"/>
        <v>#VALUE!</v>
      </c>
      <c r="V12" s="227" t="e">
        <f t="shared" si="10"/>
        <v>#VALUE!</v>
      </c>
      <c r="W12" s="101" t="e">
        <f t="shared" si="11"/>
        <v>#N/A</v>
      </c>
      <c r="X12" s="101" t="e">
        <f t="shared" ref="X12:X13" si="21">VLOOKUP(P12,BASE_CVP,5,0)</f>
        <v>#N/A</v>
      </c>
      <c r="Y12" s="101" t="e">
        <f t="shared" si="13"/>
        <v>#N/A</v>
      </c>
      <c r="Z12" s="103" t="e">
        <f t="shared" si="14"/>
        <v>#DIV/0!</v>
      </c>
      <c r="AA12" s="101" t="e">
        <f t="shared" si="15"/>
        <v>#N/A</v>
      </c>
      <c r="AB12" s="101" t="e">
        <f t="shared" si="16"/>
        <v>#N/A</v>
      </c>
      <c r="AC12" s="101" t="e">
        <f t="shared" si="17"/>
        <v>#N/A</v>
      </c>
      <c r="AD12" s="231">
        <f t="shared" si="18"/>
        <v>0</v>
      </c>
      <c r="AE12" s="231" t="e">
        <f t="shared" si="19"/>
        <v>#VALUE!</v>
      </c>
      <c r="AF12" s="231" t="e">
        <f t="shared" ref="AF12:AF30" si="22">SUM(U12*AB12)/1000</f>
        <v>#VALUE!</v>
      </c>
      <c r="AG12" s="232">
        <f t="shared" ref="AG12:AG30" si="23">SUM(AD12*$Q$7)</f>
        <v>0</v>
      </c>
      <c r="AH12" s="101" t="e">
        <f t="shared" si="20"/>
        <v>#VALUE!</v>
      </c>
      <c r="AI12" s="232" t="e">
        <f t="shared" ref="AI12:AI30" si="24">SUM(AF12*$Q$9)</f>
        <v>#VALUE!</v>
      </c>
      <c r="AJ12" s="101" t="str">
        <f t="shared" ref="AJ12:AJ30" si="25">LEFT(CONCATENATE(SUBSTITUTE(G12," ","")),8)</f>
        <v/>
      </c>
    </row>
    <row r="13" spans="2:37" x14ac:dyDescent="0.2">
      <c r="B13" s="289"/>
      <c r="C13" s="290"/>
      <c r="D13" s="291"/>
      <c r="E13" s="292"/>
      <c r="F13" s="291"/>
      <c r="G13" s="293"/>
      <c r="H13" s="294"/>
      <c r="I13" s="294"/>
      <c r="J13" s="148" t="str">
        <f t="shared" si="0"/>
        <v/>
      </c>
      <c r="K13" s="140" t="str">
        <f t="shared" si="1"/>
        <v/>
      </c>
      <c r="L13" s="148" t="str">
        <f t="shared" si="2"/>
        <v/>
      </c>
      <c r="M13" s="294" t="str">
        <f t="shared" si="3"/>
        <v/>
      </c>
      <c r="N13" s="230" t="str">
        <f t="shared" si="4"/>
        <v/>
      </c>
      <c r="P13" s="101" t="str">
        <f t="shared" si="5"/>
        <v/>
      </c>
      <c r="Q13" s="101">
        <v>110</v>
      </c>
      <c r="R13" s="101">
        <f t="shared" si="6"/>
        <v>0</v>
      </c>
      <c r="S13" s="103" t="e">
        <f t="shared" si="7"/>
        <v>#VALUE!</v>
      </c>
      <c r="T13" s="103">
        <f t="shared" si="8"/>
        <v>0</v>
      </c>
      <c r="U13" s="103" t="e">
        <f t="shared" si="9"/>
        <v>#VALUE!</v>
      </c>
      <c r="V13" s="227" t="e">
        <f t="shared" si="10"/>
        <v>#VALUE!</v>
      </c>
      <c r="W13" s="101" t="e">
        <f t="shared" si="11"/>
        <v>#N/A</v>
      </c>
      <c r="X13" s="101" t="e">
        <f t="shared" si="21"/>
        <v>#N/A</v>
      </c>
      <c r="Y13" s="101" t="e">
        <f t="shared" si="13"/>
        <v>#N/A</v>
      </c>
      <c r="Z13" s="103" t="e">
        <f t="shared" si="14"/>
        <v>#DIV/0!</v>
      </c>
      <c r="AA13" s="101" t="e">
        <f t="shared" si="15"/>
        <v>#N/A</v>
      </c>
      <c r="AB13" s="101" t="e">
        <f t="shared" si="16"/>
        <v>#N/A</v>
      </c>
      <c r="AC13" s="101" t="e">
        <f t="shared" si="17"/>
        <v>#N/A</v>
      </c>
      <c r="AD13" s="231">
        <f t="shared" si="18"/>
        <v>0</v>
      </c>
      <c r="AE13" s="231" t="e">
        <f t="shared" si="19"/>
        <v>#VALUE!</v>
      </c>
      <c r="AF13" s="231" t="e">
        <f t="shared" si="22"/>
        <v>#VALUE!</v>
      </c>
      <c r="AG13" s="232">
        <f t="shared" si="23"/>
        <v>0</v>
      </c>
      <c r="AH13" s="101" t="e">
        <f t="shared" si="20"/>
        <v>#VALUE!</v>
      </c>
      <c r="AI13" s="232" t="e">
        <f t="shared" si="24"/>
        <v>#VALUE!</v>
      </c>
      <c r="AJ13" s="101" t="str">
        <f t="shared" si="25"/>
        <v/>
      </c>
    </row>
    <row r="14" spans="2:37" x14ac:dyDescent="0.2">
      <c r="B14" s="295"/>
      <c r="C14" s="296"/>
      <c r="D14" s="297"/>
      <c r="E14" s="298"/>
      <c r="F14" s="297"/>
      <c r="G14" s="299"/>
      <c r="H14" s="300"/>
      <c r="I14" s="300"/>
      <c r="J14" s="279" t="str">
        <f t="shared" si="0"/>
        <v/>
      </c>
      <c r="K14" s="280" t="str">
        <f t="shared" si="1"/>
        <v/>
      </c>
      <c r="L14" s="279" t="str">
        <f t="shared" si="2"/>
        <v/>
      </c>
      <c r="M14" s="300" t="str">
        <f t="shared" si="3"/>
        <v/>
      </c>
      <c r="N14" s="281" t="str">
        <f t="shared" si="4"/>
        <v/>
      </c>
      <c r="P14" s="101" t="str">
        <f t="shared" si="5"/>
        <v/>
      </c>
      <c r="Q14" s="101">
        <v>110</v>
      </c>
      <c r="R14" s="101">
        <f t="shared" si="6"/>
        <v>0</v>
      </c>
      <c r="S14" s="103" t="e">
        <f t="shared" si="7"/>
        <v>#VALUE!</v>
      </c>
      <c r="T14" s="103">
        <f t="shared" si="8"/>
        <v>0</v>
      </c>
      <c r="U14" s="103" t="e">
        <f t="shared" si="9"/>
        <v>#VALUE!</v>
      </c>
      <c r="V14" s="227" t="e">
        <f t="shared" si="10"/>
        <v>#VALUE!</v>
      </c>
      <c r="W14" s="101" t="e">
        <f t="shared" si="11"/>
        <v>#N/A</v>
      </c>
      <c r="X14" s="101" t="e">
        <f t="shared" ref="X14:X30" si="26">VLOOKUP(P14,BASE_CVP,5,0)</f>
        <v>#N/A</v>
      </c>
      <c r="Y14" s="101" t="e">
        <f t="shared" si="13"/>
        <v>#N/A</v>
      </c>
      <c r="Z14" s="103" t="e">
        <f t="shared" si="14"/>
        <v>#DIV/0!</v>
      </c>
      <c r="AA14" s="101" t="e">
        <f t="shared" si="15"/>
        <v>#N/A</v>
      </c>
      <c r="AB14" s="101" t="e">
        <f t="shared" si="16"/>
        <v>#N/A</v>
      </c>
      <c r="AC14" s="101" t="e">
        <f t="shared" si="17"/>
        <v>#N/A</v>
      </c>
      <c r="AD14" s="231">
        <f t="shared" si="18"/>
        <v>0</v>
      </c>
      <c r="AE14" s="231" t="e">
        <f t="shared" si="19"/>
        <v>#VALUE!</v>
      </c>
      <c r="AF14" s="231" t="e">
        <f t="shared" si="22"/>
        <v>#VALUE!</v>
      </c>
      <c r="AG14" s="232">
        <f t="shared" si="23"/>
        <v>0</v>
      </c>
      <c r="AH14" s="101" t="e">
        <f t="shared" si="20"/>
        <v>#VALUE!</v>
      </c>
      <c r="AI14" s="232" t="e">
        <f t="shared" si="24"/>
        <v>#VALUE!</v>
      </c>
      <c r="AJ14" s="101" t="str">
        <f t="shared" si="25"/>
        <v/>
      </c>
    </row>
    <row r="15" spans="2:37" x14ac:dyDescent="0.2">
      <c r="B15" s="289"/>
      <c r="C15" s="290"/>
      <c r="D15" s="291"/>
      <c r="E15" s="292"/>
      <c r="F15" s="291"/>
      <c r="G15" s="293"/>
      <c r="H15" s="294"/>
      <c r="I15" s="294"/>
      <c r="J15" s="148" t="str">
        <f t="shared" si="0"/>
        <v/>
      </c>
      <c r="K15" s="140" t="str">
        <f t="shared" si="1"/>
        <v/>
      </c>
      <c r="L15" s="148" t="str">
        <f t="shared" si="2"/>
        <v/>
      </c>
      <c r="M15" s="294" t="str">
        <f t="shared" si="3"/>
        <v/>
      </c>
      <c r="N15" s="230" t="str">
        <f t="shared" si="4"/>
        <v/>
      </c>
      <c r="P15" s="101" t="str">
        <f t="shared" si="5"/>
        <v/>
      </c>
      <c r="Q15" s="101">
        <v>110</v>
      </c>
      <c r="R15" s="101">
        <f t="shared" si="6"/>
        <v>0</v>
      </c>
      <c r="S15" s="103" t="e">
        <f t="shared" si="7"/>
        <v>#VALUE!</v>
      </c>
      <c r="T15" s="103">
        <f t="shared" si="8"/>
        <v>0</v>
      </c>
      <c r="U15" s="103" t="e">
        <f t="shared" si="9"/>
        <v>#VALUE!</v>
      </c>
      <c r="V15" s="227" t="e">
        <f t="shared" si="10"/>
        <v>#VALUE!</v>
      </c>
      <c r="W15" s="101" t="e">
        <f t="shared" si="11"/>
        <v>#N/A</v>
      </c>
      <c r="X15" s="101" t="e">
        <f t="shared" si="26"/>
        <v>#N/A</v>
      </c>
      <c r="Y15" s="101" t="e">
        <f t="shared" si="13"/>
        <v>#N/A</v>
      </c>
      <c r="Z15" s="103" t="e">
        <f t="shared" si="14"/>
        <v>#DIV/0!</v>
      </c>
      <c r="AA15" s="101" t="e">
        <f t="shared" si="15"/>
        <v>#N/A</v>
      </c>
      <c r="AB15" s="101" t="e">
        <f t="shared" si="16"/>
        <v>#N/A</v>
      </c>
      <c r="AC15" s="101" t="e">
        <f t="shared" si="17"/>
        <v>#N/A</v>
      </c>
      <c r="AD15" s="231">
        <f t="shared" si="18"/>
        <v>0</v>
      </c>
      <c r="AE15" s="231" t="e">
        <f t="shared" si="19"/>
        <v>#VALUE!</v>
      </c>
      <c r="AF15" s="231" t="e">
        <f t="shared" si="22"/>
        <v>#VALUE!</v>
      </c>
      <c r="AG15" s="232">
        <f t="shared" si="23"/>
        <v>0</v>
      </c>
      <c r="AH15" s="101" t="e">
        <f t="shared" si="20"/>
        <v>#VALUE!</v>
      </c>
      <c r="AI15" s="232" t="e">
        <f t="shared" si="24"/>
        <v>#VALUE!</v>
      </c>
      <c r="AJ15" s="101" t="str">
        <f t="shared" si="25"/>
        <v/>
      </c>
    </row>
    <row r="16" spans="2:37" x14ac:dyDescent="0.2">
      <c r="B16" s="295"/>
      <c r="C16" s="296"/>
      <c r="D16" s="297"/>
      <c r="E16" s="298"/>
      <c r="F16" s="297"/>
      <c r="G16" s="299"/>
      <c r="H16" s="300"/>
      <c r="I16" s="300"/>
      <c r="J16" s="279" t="str">
        <f t="shared" si="0"/>
        <v/>
      </c>
      <c r="K16" s="280" t="str">
        <f t="shared" si="1"/>
        <v/>
      </c>
      <c r="L16" s="279" t="str">
        <f t="shared" si="2"/>
        <v/>
      </c>
      <c r="M16" s="300" t="str">
        <f t="shared" si="3"/>
        <v/>
      </c>
      <c r="N16" s="281" t="str">
        <f t="shared" si="4"/>
        <v/>
      </c>
      <c r="P16" s="101" t="str">
        <f t="shared" si="5"/>
        <v/>
      </c>
      <c r="Q16" s="101">
        <v>110</v>
      </c>
      <c r="R16" s="101">
        <f t="shared" si="6"/>
        <v>0</v>
      </c>
      <c r="S16" s="103" t="e">
        <f t="shared" si="7"/>
        <v>#VALUE!</v>
      </c>
      <c r="T16" s="103">
        <f t="shared" si="8"/>
        <v>0</v>
      </c>
      <c r="U16" s="103" t="e">
        <f t="shared" si="9"/>
        <v>#VALUE!</v>
      </c>
      <c r="V16" s="227" t="e">
        <f t="shared" si="10"/>
        <v>#VALUE!</v>
      </c>
      <c r="W16" s="101" t="e">
        <f t="shared" si="11"/>
        <v>#N/A</v>
      </c>
      <c r="X16" s="101" t="e">
        <f t="shared" si="26"/>
        <v>#N/A</v>
      </c>
      <c r="Y16" s="101" t="e">
        <f t="shared" si="13"/>
        <v>#N/A</v>
      </c>
      <c r="Z16" s="103" t="e">
        <f t="shared" si="14"/>
        <v>#DIV/0!</v>
      </c>
      <c r="AA16" s="101" t="e">
        <f t="shared" si="15"/>
        <v>#N/A</v>
      </c>
      <c r="AB16" s="101" t="e">
        <f t="shared" si="16"/>
        <v>#N/A</v>
      </c>
      <c r="AC16" s="101" t="e">
        <f t="shared" si="17"/>
        <v>#N/A</v>
      </c>
      <c r="AD16" s="231">
        <f t="shared" si="18"/>
        <v>0</v>
      </c>
      <c r="AE16" s="231" t="e">
        <f t="shared" si="19"/>
        <v>#VALUE!</v>
      </c>
      <c r="AF16" s="231" t="e">
        <f t="shared" si="22"/>
        <v>#VALUE!</v>
      </c>
      <c r="AG16" s="232">
        <f t="shared" si="23"/>
        <v>0</v>
      </c>
      <c r="AH16" s="101" t="e">
        <f t="shared" si="20"/>
        <v>#VALUE!</v>
      </c>
      <c r="AI16" s="232" t="e">
        <f t="shared" si="24"/>
        <v>#VALUE!</v>
      </c>
      <c r="AJ16" s="101" t="str">
        <f t="shared" si="25"/>
        <v/>
      </c>
    </row>
    <row r="17" spans="2:36" x14ac:dyDescent="0.2">
      <c r="B17" s="289"/>
      <c r="C17" s="290"/>
      <c r="D17" s="291"/>
      <c r="E17" s="292"/>
      <c r="F17" s="291"/>
      <c r="G17" s="293"/>
      <c r="H17" s="294"/>
      <c r="I17" s="294"/>
      <c r="J17" s="148" t="str">
        <f t="shared" si="0"/>
        <v/>
      </c>
      <c r="K17" s="140" t="str">
        <f t="shared" si="1"/>
        <v/>
      </c>
      <c r="L17" s="148" t="str">
        <f t="shared" si="2"/>
        <v/>
      </c>
      <c r="M17" s="294" t="str">
        <f t="shared" si="3"/>
        <v/>
      </c>
      <c r="N17" s="230" t="str">
        <f t="shared" si="4"/>
        <v/>
      </c>
      <c r="P17" s="101" t="str">
        <f t="shared" si="5"/>
        <v/>
      </c>
      <c r="Q17" s="101">
        <v>110</v>
      </c>
      <c r="R17" s="101">
        <f t="shared" si="6"/>
        <v>0</v>
      </c>
      <c r="S17" s="103" t="e">
        <f t="shared" si="7"/>
        <v>#VALUE!</v>
      </c>
      <c r="T17" s="103">
        <f t="shared" si="8"/>
        <v>0</v>
      </c>
      <c r="U17" s="103" t="e">
        <f t="shared" si="9"/>
        <v>#VALUE!</v>
      </c>
      <c r="V17" s="227" t="e">
        <f t="shared" si="10"/>
        <v>#VALUE!</v>
      </c>
      <c r="W17" s="101" t="e">
        <f t="shared" si="11"/>
        <v>#N/A</v>
      </c>
      <c r="X17" s="101" t="e">
        <f t="shared" si="26"/>
        <v>#N/A</v>
      </c>
      <c r="Y17" s="101" t="e">
        <f t="shared" si="13"/>
        <v>#N/A</v>
      </c>
      <c r="Z17" s="103" t="e">
        <f t="shared" si="14"/>
        <v>#DIV/0!</v>
      </c>
      <c r="AA17" s="101" t="e">
        <f t="shared" si="15"/>
        <v>#N/A</v>
      </c>
      <c r="AB17" s="101" t="e">
        <f t="shared" si="16"/>
        <v>#N/A</v>
      </c>
      <c r="AC17" s="101" t="e">
        <f t="shared" si="17"/>
        <v>#N/A</v>
      </c>
      <c r="AD17" s="231">
        <f t="shared" si="18"/>
        <v>0</v>
      </c>
      <c r="AE17" s="231" t="e">
        <f t="shared" si="19"/>
        <v>#VALUE!</v>
      </c>
      <c r="AF17" s="231" t="e">
        <f t="shared" si="22"/>
        <v>#VALUE!</v>
      </c>
      <c r="AG17" s="232">
        <f t="shared" si="23"/>
        <v>0</v>
      </c>
      <c r="AH17" s="101" t="e">
        <f t="shared" si="20"/>
        <v>#VALUE!</v>
      </c>
      <c r="AI17" s="232" t="e">
        <f t="shared" si="24"/>
        <v>#VALUE!</v>
      </c>
      <c r="AJ17" s="101" t="str">
        <f t="shared" si="25"/>
        <v/>
      </c>
    </row>
    <row r="18" spans="2:36" x14ac:dyDescent="0.2">
      <c r="B18" s="295"/>
      <c r="C18" s="296"/>
      <c r="D18" s="297"/>
      <c r="E18" s="298"/>
      <c r="F18" s="297"/>
      <c r="G18" s="299"/>
      <c r="H18" s="300"/>
      <c r="I18" s="300"/>
      <c r="J18" s="279" t="str">
        <f t="shared" si="0"/>
        <v/>
      </c>
      <c r="K18" s="280" t="str">
        <f t="shared" si="1"/>
        <v/>
      </c>
      <c r="L18" s="279" t="str">
        <f t="shared" si="2"/>
        <v/>
      </c>
      <c r="M18" s="300" t="str">
        <f t="shared" si="3"/>
        <v/>
      </c>
      <c r="N18" s="281" t="str">
        <f t="shared" si="4"/>
        <v/>
      </c>
      <c r="P18" s="101" t="str">
        <f t="shared" si="5"/>
        <v/>
      </c>
      <c r="Q18" s="101">
        <v>110</v>
      </c>
      <c r="R18" s="101">
        <f t="shared" si="6"/>
        <v>0</v>
      </c>
      <c r="S18" s="103" t="e">
        <f t="shared" si="7"/>
        <v>#VALUE!</v>
      </c>
      <c r="T18" s="103">
        <f t="shared" si="8"/>
        <v>0</v>
      </c>
      <c r="U18" s="103" t="e">
        <f t="shared" si="9"/>
        <v>#VALUE!</v>
      </c>
      <c r="V18" s="227" t="e">
        <f t="shared" si="10"/>
        <v>#VALUE!</v>
      </c>
      <c r="W18" s="101" t="e">
        <f t="shared" si="11"/>
        <v>#N/A</v>
      </c>
      <c r="X18" s="101" t="e">
        <f t="shared" si="26"/>
        <v>#N/A</v>
      </c>
      <c r="Y18" s="101" t="e">
        <f t="shared" si="13"/>
        <v>#N/A</v>
      </c>
      <c r="Z18" s="103" t="e">
        <f t="shared" si="14"/>
        <v>#DIV/0!</v>
      </c>
      <c r="AA18" s="101" t="e">
        <f t="shared" si="15"/>
        <v>#N/A</v>
      </c>
      <c r="AB18" s="101" t="e">
        <f t="shared" si="16"/>
        <v>#N/A</v>
      </c>
      <c r="AC18" s="101" t="e">
        <f t="shared" si="17"/>
        <v>#N/A</v>
      </c>
      <c r="AD18" s="231">
        <f t="shared" si="18"/>
        <v>0</v>
      </c>
      <c r="AE18" s="231" t="e">
        <f t="shared" si="19"/>
        <v>#VALUE!</v>
      </c>
      <c r="AF18" s="231" t="e">
        <f t="shared" si="22"/>
        <v>#VALUE!</v>
      </c>
      <c r="AG18" s="232">
        <f t="shared" si="23"/>
        <v>0</v>
      </c>
      <c r="AH18" s="101" t="e">
        <f t="shared" si="20"/>
        <v>#VALUE!</v>
      </c>
      <c r="AI18" s="232" t="e">
        <f t="shared" si="24"/>
        <v>#VALUE!</v>
      </c>
      <c r="AJ18" s="101" t="str">
        <f t="shared" si="25"/>
        <v/>
      </c>
    </row>
    <row r="19" spans="2:36" x14ac:dyDescent="0.2">
      <c r="B19" s="289"/>
      <c r="C19" s="290"/>
      <c r="D19" s="291"/>
      <c r="E19" s="292"/>
      <c r="F19" s="291"/>
      <c r="G19" s="293"/>
      <c r="H19" s="294"/>
      <c r="I19" s="294"/>
      <c r="J19" s="148" t="str">
        <f t="shared" si="0"/>
        <v/>
      </c>
      <c r="K19" s="140" t="str">
        <f t="shared" si="1"/>
        <v/>
      </c>
      <c r="L19" s="148" t="str">
        <f t="shared" si="2"/>
        <v/>
      </c>
      <c r="M19" s="294" t="str">
        <f t="shared" si="3"/>
        <v/>
      </c>
      <c r="N19" s="230" t="str">
        <f t="shared" si="4"/>
        <v/>
      </c>
      <c r="P19" s="101" t="str">
        <f t="shared" si="5"/>
        <v/>
      </c>
      <c r="Q19" s="101">
        <v>110</v>
      </c>
      <c r="R19" s="101">
        <f t="shared" si="6"/>
        <v>0</v>
      </c>
      <c r="S19" s="103" t="e">
        <f t="shared" si="7"/>
        <v>#VALUE!</v>
      </c>
      <c r="T19" s="103">
        <f t="shared" si="8"/>
        <v>0</v>
      </c>
      <c r="U19" s="103" t="e">
        <f t="shared" si="9"/>
        <v>#VALUE!</v>
      </c>
      <c r="V19" s="227" t="e">
        <f t="shared" si="10"/>
        <v>#VALUE!</v>
      </c>
      <c r="W19" s="101" t="e">
        <f t="shared" si="11"/>
        <v>#N/A</v>
      </c>
      <c r="X19" s="101" t="e">
        <f t="shared" si="26"/>
        <v>#N/A</v>
      </c>
      <c r="Y19" s="101" t="e">
        <f t="shared" si="13"/>
        <v>#N/A</v>
      </c>
      <c r="Z19" s="103" t="e">
        <f t="shared" si="14"/>
        <v>#DIV/0!</v>
      </c>
      <c r="AA19" s="101" t="e">
        <f t="shared" si="15"/>
        <v>#N/A</v>
      </c>
      <c r="AB19" s="101" t="e">
        <f t="shared" si="16"/>
        <v>#N/A</v>
      </c>
      <c r="AC19" s="101" t="e">
        <f t="shared" si="17"/>
        <v>#N/A</v>
      </c>
      <c r="AD19" s="231">
        <f t="shared" si="18"/>
        <v>0</v>
      </c>
      <c r="AE19" s="231" t="e">
        <f t="shared" si="19"/>
        <v>#VALUE!</v>
      </c>
      <c r="AF19" s="231" t="e">
        <f t="shared" si="22"/>
        <v>#VALUE!</v>
      </c>
      <c r="AG19" s="232">
        <f t="shared" si="23"/>
        <v>0</v>
      </c>
      <c r="AH19" s="101" t="e">
        <f t="shared" si="20"/>
        <v>#VALUE!</v>
      </c>
      <c r="AI19" s="232" t="e">
        <f t="shared" si="24"/>
        <v>#VALUE!</v>
      </c>
      <c r="AJ19" s="101" t="str">
        <f t="shared" si="25"/>
        <v/>
      </c>
    </row>
    <row r="20" spans="2:36" x14ac:dyDescent="0.2">
      <c r="B20" s="295"/>
      <c r="C20" s="296"/>
      <c r="D20" s="297"/>
      <c r="E20" s="298"/>
      <c r="F20" s="297"/>
      <c r="G20" s="299"/>
      <c r="H20" s="300"/>
      <c r="I20" s="300"/>
      <c r="J20" s="279" t="str">
        <f t="shared" si="0"/>
        <v/>
      </c>
      <c r="K20" s="280" t="str">
        <f t="shared" si="1"/>
        <v/>
      </c>
      <c r="L20" s="279" t="str">
        <f t="shared" si="2"/>
        <v/>
      </c>
      <c r="M20" s="300" t="str">
        <f t="shared" si="3"/>
        <v/>
      </c>
      <c r="N20" s="281" t="str">
        <f t="shared" si="4"/>
        <v/>
      </c>
      <c r="P20" s="101" t="str">
        <f t="shared" si="5"/>
        <v/>
      </c>
      <c r="Q20" s="101">
        <v>110</v>
      </c>
      <c r="R20" s="101">
        <f t="shared" si="6"/>
        <v>0</v>
      </c>
      <c r="S20" s="103" t="e">
        <f t="shared" si="7"/>
        <v>#VALUE!</v>
      </c>
      <c r="T20" s="103">
        <f t="shared" si="8"/>
        <v>0</v>
      </c>
      <c r="U20" s="103" t="e">
        <f t="shared" si="9"/>
        <v>#VALUE!</v>
      </c>
      <c r="V20" s="227" t="e">
        <f t="shared" si="10"/>
        <v>#VALUE!</v>
      </c>
      <c r="W20" s="101" t="e">
        <f t="shared" si="11"/>
        <v>#N/A</v>
      </c>
      <c r="X20" s="101" t="e">
        <f t="shared" si="26"/>
        <v>#N/A</v>
      </c>
      <c r="Y20" s="101" t="e">
        <f t="shared" si="13"/>
        <v>#N/A</v>
      </c>
      <c r="Z20" s="103" t="e">
        <f t="shared" si="14"/>
        <v>#DIV/0!</v>
      </c>
      <c r="AA20" s="101" t="e">
        <f t="shared" si="15"/>
        <v>#N/A</v>
      </c>
      <c r="AB20" s="101" t="e">
        <f t="shared" si="16"/>
        <v>#N/A</v>
      </c>
      <c r="AC20" s="101" t="e">
        <f t="shared" si="17"/>
        <v>#N/A</v>
      </c>
      <c r="AD20" s="231">
        <f t="shared" si="18"/>
        <v>0</v>
      </c>
      <c r="AE20" s="231" t="e">
        <f t="shared" si="19"/>
        <v>#VALUE!</v>
      </c>
      <c r="AF20" s="231" t="e">
        <f t="shared" si="22"/>
        <v>#VALUE!</v>
      </c>
      <c r="AG20" s="232">
        <f t="shared" si="23"/>
        <v>0</v>
      </c>
      <c r="AH20" s="101" t="e">
        <f t="shared" si="20"/>
        <v>#VALUE!</v>
      </c>
      <c r="AI20" s="232" t="e">
        <f t="shared" si="24"/>
        <v>#VALUE!</v>
      </c>
      <c r="AJ20" s="101" t="str">
        <f t="shared" si="25"/>
        <v/>
      </c>
    </row>
    <row r="21" spans="2:36" x14ac:dyDescent="0.2">
      <c r="B21" s="289"/>
      <c r="C21" s="290"/>
      <c r="D21" s="291"/>
      <c r="E21" s="292"/>
      <c r="F21" s="291"/>
      <c r="G21" s="293"/>
      <c r="H21" s="294"/>
      <c r="I21" s="294"/>
      <c r="J21" s="148" t="str">
        <f t="shared" si="0"/>
        <v/>
      </c>
      <c r="K21" s="140" t="str">
        <f t="shared" si="1"/>
        <v/>
      </c>
      <c r="L21" s="148" t="str">
        <f t="shared" si="2"/>
        <v/>
      </c>
      <c r="M21" s="294" t="str">
        <f t="shared" si="3"/>
        <v/>
      </c>
      <c r="N21" s="230" t="str">
        <f t="shared" si="4"/>
        <v/>
      </c>
      <c r="P21" s="101" t="str">
        <f t="shared" si="5"/>
        <v/>
      </c>
      <c r="Q21" s="101">
        <v>110</v>
      </c>
      <c r="R21" s="101">
        <f t="shared" si="6"/>
        <v>0</v>
      </c>
      <c r="S21" s="103" t="e">
        <f t="shared" si="7"/>
        <v>#VALUE!</v>
      </c>
      <c r="T21" s="103">
        <f t="shared" si="8"/>
        <v>0</v>
      </c>
      <c r="U21" s="103" t="e">
        <f t="shared" si="9"/>
        <v>#VALUE!</v>
      </c>
      <c r="V21" s="227" t="e">
        <f t="shared" si="10"/>
        <v>#VALUE!</v>
      </c>
      <c r="W21" s="101" t="e">
        <f t="shared" si="11"/>
        <v>#N/A</v>
      </c>
      <c r="X21" s="101" t="e">
        <f t="shared" si="26"/>
        <v>#N/A</v>
      </c>
      <c r="Y21" s="101" t="e">
        <f t="shared" si="13"/>
        <v>#N/A</v>
      </c>
      <c r="Z21" s="103" t="e">
        <f t="shared" si="14"/>
        <v>#DIV/0!</v>
      </c>
      <c r="AA21" s="101" t="e">
        <f t="shared" si="15"/>
        <v>#N/A</v>
      </c>
      <c r="AB21" s="101" t="e">
        <f t="shared" si="16"/>
        <v>#N/A</v>
      </c>
      <c r="AC21" s="101" t="e">
        <f t="shared" si="17"/>
        <v>#N/A</v>
      </c>
      <c r="AD21" s="231">
        <f t="shared" si="18"/>
        <v>0</v>
      </c>
      <c r="AE21" s="231" t="e">
        <f t="shared" si="19"/>
        <v>#VALUE!</v>
      </c>
      <c r="AF21" s="231" t="e">
        <f t="shared" si="22"/>
        <v>#VALUE!</v>
      </c>
      <c r="AG21" s="232">
        <f t="shared" si="23"/>
        <v>0</v>
      </c>
      <c r="AH21" s="101" t="e">
        <f t="shared" si="20"/>
        <v>#VALUE!</v>
      </c>
      <c r="AI21" s="232" t="e">
        <f t="shared" si="24"/>
        <v>#VALUE!</v>
      </c>
      <c r="AJ21" s="101" t="str">
        <f t="shared" si="25"/>
        <v/>
      </c>
    </row>
    <row r="22" spans="2:36" x14ac:dyDescent="0.2">
      <c r="B22" s="295"/>
      <c r="C22" s="296"/>
      <c r="D22" s="297"/>
      <c r="E22" s="298"/>
      <c r="F22" s="297"/>
      <c r="G22" s="299"/>
      <c r="H22" s="300"/>
      <c r="I22" s="300"/>
      <c r="J22" s="279" t="str">
        <f t="shared" si="0"/>
        <v/>
      </c>
      <c r="K22" s="280" t="str">
        <f t="shared" si="1"/>
        <v/>
      </c>
      <c r="L22" s="279" t="str">
        <f t="shared" si="2"/>
        <v/>
      </c>
      <c r="M22" s="300" t="str">
        <f t="shared" si="3"/>
        <v/>
      </c>
      <c r="N22" s="281" t="str">
        <f t="shared" si="4"/>
        <v/>
      </c>
      <c r="P22" s="101" t="str">
        <f t="shared" si="5"/>
        <v/>
      </c>
      <c r="Q22" s="101">
        <v>110</v>
      </c>
      <c r="R22" s="101">
        <f t="shared" si="6"/>
        <v>0</v>
      </c>
      <c r="S22" s="103" t="e">
        <f t="shared" si="7"/>
        <v>#VALUE!</v>
      </c>
      <c r="T22" s="103">
        <f t="shared" si="8"/>
        <v>0</v>
      </c>
      <c r="U22" s="103" t="e">
        <f t="shared" si="9"/>
        <v>#VALUE!</v>
      </c>
      <c r="V22" s="227" t="e">
        <f t="shared" si="10"/>
        <v>#VALUE!</v>
      </c>
      <c r="W22" s="101" t="e">
        <f t="shared" si="11"/>
        <v>#N/A</v>
      </c>
      <c r="X22" s="101" t="e">
        <f t="shared" si="26"/>
        <v>#N/A</v>
      </c>
      <c r="Y22" s="101" t="e">
        <f t="shared" si="13"/>
        <v>#N/A</v>
      </c>
      <c r="Z22" s="103" t="e">
        <f t="shared" si="14"/>
        <v>#DIV/0!</v>
      </c>
      <c r="AA22" s="101" t="e">
        <f t="shared" si="15"/>
        <v>#N/A</v>
      </c>
      <c r="AB22" s="101" t="e">
        <f t="shared" si="16"/>
        <v>#N/A</v>
      </c>
      <c r="AC22" s="101" t="e">
        <f t="shared" si="17"/>
        <v>#N/A</v>
      </c>
      <c r="AD22" s="231">
        <f t="shared" si="18"/>
        <v>0</v>
      </c>
      <c r="AE22" s="231" t="e">
        <f t="shared" si="19"/>
        <v>#VALUE!</v>
      </c>
      <c r="AF22" s="231" t="e">
        <f t="shared" si="22"/>
        <v>#VALUE!</v>
      </c>
      <c r="AG22" s="232">
        <f t="shared" si="23"/>
        <v>0</v>
      </c>
      <c r="AH22" s="101" t="e">
        <f t="shared" si="20"/>
        <v>#VALUE!</v>
      </c>
      <c r="AI22" s="232" t="e">
        <f t="shared" si="24"/>
        <v>#VALUE!</v>
      </c>
      <c r="AJ22" s="101" t="str">
        <f t="shared" si="25"/>
        <v/>
      </c>
    </row>
    <row r="23" spans="2:36" x14ac:dyDescent="0.2">
      <c r="B23" s="289"/>
      <c r="C23" s="290"/>
      <c r="D23" s="291"/>
      <c r="E23" s="292"/>
      <c r="F23" s="291"/>
      <c r="G23" s="293"/>
      <c r="H23" s="294"/>
      <c r="I23" s="294"/>
      <c r="J23" s="148" t="str">
        <f t="shared" si="0"/>
        <v/>
      </c>
      <c r="K23" s="140" t="str">
        <f t="shared" si="1"/>
        <v/>
      </c>
      <c r="L23" s="148" t="str">
        <f t="shared" si="2"/>
        <v/>
      </c>
      <c r="M23" s="294" t="str">
        <f t="shared" si="3"/>
        <v/>
      </c>
      <c r="N23" s="230" t="str">
        <f t="shared" si="4"/>
        <v/>
      </c>
      <c r="P23" s="101" t="str">
        <f t="shared" si="5"/>
        <v/>
      </c>
      <c r="Q23" s="101">
        <v>110</v>
      </c>
      <c r="R23" s="101">
        <f t="shared" si="6"/>
        <v>0</v>
      </c>
      <c r="S23" s="103" t="e">
        <f t="shared" si="7"/>
        <v>#VALUE!</v>
      </c>
      <c r="T23" s="103">
        <f t="shared" si="8"/>
        <v>0</v>
      </c>
      <c r="U23" s="103" t="e">
        <f t="shared" si="9"/>
        <v>#VALUE!</v>
      </c>
      <c r="V23" s="227" t="e">
        <f t="shared" si="10"/>
        <v>#VALUE!</v>
      </c>
      <c r="W23" s="101" t="e">
        <f t="shared" si="11"/>
        <v>#N/A</v>
      </c>
      <c r="X23" s="101" t="e">
        <f t="shared" si="26"/>
        <v>#N/A</v>
      </c>
      <c r="Y23" s="101" t="e">
        <f t="shared" si="13"/>
        <v>#N/A</v>
      </c>
      <c r="Z23" s="103" t="e">
        <f t="shared" si="14"/>
        <v>#DIV/0!</v>
      </c>
      <c r="AA23" s="101" t="e">
        <f t="shared" si="15"/>
        <v>#N/A</v>
      </c>
      <c r="AB23" s="101" t="e">
        <f t="shared" si="16"/>
        <v>#N/A</v>
      </c>
      <c r="AC23" s="101" t="e">
        <f t="shared" si="17"/>
        <v>#N/A</v>
      </c>
      <c r="AD23" s="231">
        <f t="shared" si="18"/>
        <v>0</v>
      </c>
      <c r="AE23" s="231" t="e">
        <f t="shared" si="19"/>
        <v>#VALUE!</v>
      </c>
      <c r="AF23" s="231" t="e">
        <f t="shared" si="22"/>
        <v>#VALUE!</v>
      </c>
      <c r="AG23" s="232">
        <f t="shared" si="23"/>
        <v>0</v>
      </c>
      <c r="AH23" s="101" t="e">
        <f t="shared" si="20"/>
        <v>#VALUE!</v>
      </c>
      <c r="AI23" s="232" t="e">
        <f t="shared" si="24"/>
        <v>#VALUE!</v>
      </c>
      <c r="AJ23" s="101" t="str">
        <f t="shared" si="25"/>
        <v/>
      </c>
    </row>
    <row r="24" spans="2:36" x14ac:dyDescent="0.2">
      <c r="B24" s="295"/>
      <c r="C24" s="296"/>
      <c r="D24" s="297"/>
      <c r="E24" s="298"/>
      <c r="F24" s="297"/>
      <c r="G24" s="299"/>
      <c r="H24" s="300"/>
      <c r="I24" s="300"/>
      <c r="J24" s="279" t="str">
        <f t="shared" si="0"/>
        <v/>
      </c>
      <c r="K24" s="280" t="str">
        <f t="shared" si="1"/>
        <v/>
      </c>
      <c r="L24" s="279" t="str">
        <f t="shared" si="2"/>
        <v/>
      </c>
      <c r="M24" s="300" t="str">
        <f t="shared" si="3"/>
        <v/>
      </c>
      <c r="N24" s="281" t="str">
        <f t="shared" si="4"/>
        <v/>
      </c>
      <c r="P24" s="101" t="str">
        <f t="shared" si="5"/>
        <v/>
      </c>
      <c r="Q24" s="101">
        <v>110</v>
      </c>
      <c r="R24" s="101">
        <f t="shared" si="6"/>
        <v>0</v>
      </c>
      <c r="S24" s="103" t="e">
        <f t="shared" si="7"/>
        <v>#VALUE!</v>
      </c>
      <c r="T24" s="103">
        <f t="shared" si="8"/>
        <v>0</v>
      </c>
      <c r="U24" s="103" t="e">
        <f t="shared" si="9"/>
        <v>#VALUE!</v>
      </c>
      <c r="V24" s="227" t="e">
        <f t="shared" si="10"/>
        <v>#VALUE!</v>
      </c>
      <c r="W24" s="101" t="e">
        <f t="shared" si="11"/>
        <v>#N/A</v>
      </c>
      <c r="X24" s="101" t="e">
        <f t="shared" si="26"/>
        <v>#N/A</v>
      </c>
      <c r="Y24" s="101" t="e">
        <f t="shared" si="13"/>
        <v>#N/A</v>
      </c>
      <c r="Z24" s="103" t="e">
        <f t="shared" si="14"/>
        <v>#DIV/0!</v>
      </c>
      <c r="AA24" s="101" t="e">
        <f t="shared" si="15"/>
        <v>#N/A</v>
      </c>
      <c r="AB24" s="101" t="e">
        <f t="shared" si="16"/>
        <v>#N/A</v>
      </c>
      <c r="AC24" s="101" t="e">
        <f t="shared" si="17"/>
        <v>#N/A</v>
      </c>
      <c r="AD24" s="231">
        <f t="shared" si="18"/>
        <v>0</v>
      </c>
      <c r="AE24" s="231" t="e">
        <f t="shared" si="19"/>
        <v>#VALUE!</v>
      </c>
      <c r="AF24" s="231" t="e">
        <f t="shared" si="22"/>
        <v>#VALUE!</v>
      </c>
      <c r="AG24" s="232">
        <f t="shared" si="23"/>
        <v>0</v>
      </c>
      <c r="AH24" s="101" t="e">
        <f t="shared" si="20"/>
        <v>#VALUE!</v>
      </c>
      <c r="AI24" s="232" t="e">
        <f t="shared" si="24"/>
        <v>#VALUE!</v>
      </c>
      <c r="AJ24" s="101" t="str">
        <f t="shared" si="25"/>
        <v/>
      </c>
    </row>
    <row r="25" spans="2:36" x14ac:dyDescent="0.2">
      <c r="B25" s="289"/>
      <c r="C25" s="290"/>
      <c r="D25" s="291"/>
      <c r="E25" s="292"/>
      <c r="F25" s="291"/>
      <c r="G25" s="293"/>
      <c r="H25" s="294"/>
      <c r="I25" s="294"/>
      <c r="J25" s="148" t="str">
        <f t="shared" si="0"/>
        <v/>
      </c>
      <c r="K25" s="140" t="str">
        <f t="shared" si="1"/>
        <v/>
      </c>
      <c r="L25" s="148" t="str">
        <f t="shared" si="2"/>
        <v/>
      </c>
      <c r="M25" s="294" t="str">
        <f t="shared" si="3"/>
        <v/>
      </c>
      <c r="N25" s="230" t="str">
        <f t="shared" si="4"/>
        <v/>
      </c>
      <c r="P25" s="101" t="str">
        <f t="shared" si="5"/>
        <v/>
      </c>
      <c r="Q25" s="101">
        <v>110</v>
      </c>
      <c r="R25" s="101">
        <f t="shared" si="6"/>
        <v>0</v>
      </c>
      <c r="S25" s="103" t="e">
        <f t="shared" si="7"/>
        <v>#VALUE!</v>
      </c>
      <c r="T25" s="103">
        <f t="shared" si="8"/>
        <v>0</v>
      </c>
      <c r="U25" s="103" t="e">
        <f t="shared" si="9"/>
        <v>#VALUE!</v>
      </c>
      <c r="V25" s="227" t="e">
        <f t="shared" si="10"/>
        <v>#VALUE!</v>
      </c>
      <c r="W25" s="101" t="e">
        <f t="shared" si="11"/>
        <v>#N/A</v>
      </c>
      <c r="X25" s="101" t="e">
        <f t="shared" si="26"/>
        <v>#N/A</v>
      </c>
      <c r="Y25" s="101" t="e">
        <f t="shared" si="13"/>
        <v>#N/A</v>
      </c>
      <c r="Z25" s="103" t="e">
        <f t="shared" si="14"/>
        <v>#DIV/0!</v>
      </c>
      <c r="AA25" s="101" t="e">
        <f t="shared" si="15"/>
        <v>#N/A</v>
      </c>
      <c r="AB25" s="101" t="e">
        <f t="shared" si="16"/>
        <v>#N/A</v>
      </c>
      <c r="AC25" s="101" t="e">
        <f t="shared" si="17"/>
        <v>#N/A</v>
      </c>
      <c r="AD25" s="231">
        <f t="shared" si="18"/>
        <v>0</v>
      </c>
      <c r="AE25" s="231" t="e">
        <f t="shared" si="19"/>
        <v>#VALUE!</v>
      </c>
      <c r="AF25" s="231" t="e">
        <f t="shared" si="22"/>
        <v>#VALUE!</v>
      </c>
      <c r="AG25" s="232">
        <f t="shared" si="23"/>
        <v>0</v>
      </c>
      <c r="AH25" s="101" t="e">
        <f t="shared" si="20"/>
        <v>#VALUE!</v>
      </c>
      <c r="AI25" s="232" t="e">
        <f t="shared" si="24"/>
        <v>#VALUE!</v>
      </c>
      <c r="AJ25" s="101" t="str">
        <f t="shared" si="25"/>
        <v/>
      </c>
    </row>
    <row r="26" spans="2:36" x14ac:dyDescent="0.2">
      <c r="B26" s="295"/>
      <c r="C26" s="296"/>
      <c r="D26" s="297"/>
      <c r="E26" s="298"/>
      <c r="F26" s="297"/>
      <c r="G26" s="299"/>
      <c r="H26" s="300"/>
      <c r="I26" s="300"/>
      <c r="J26" s="279" t="str">
        <f t="shared" si="0"/>
        <v/>
      </c>
      <c r="K26" s="280" t="str">
        <f t="shared" si="1"/>
        <v/>
      </c>
      <c r="L26" s="279" t="str">
        <f t="shared" si="2"/>
        <v/>
      </c>
      <c r="M26" s="300" t="str">
        <f t="shared" si="3"/>
        <v/>
      </c>
      <c r="N26" s="281" t="str">
        <f t="shared" si="4"/>
        <v/>
      </c>
      <c r="P26" s="101" t="str">
        <f t="shared" si="5"/>
        <v/>
      </c>
      <c r="Q26" s="101">
        <v>110</v>
      </c>
      <c r="R26" s="101">
        <f t="shared" si="6"/>
        <v>0</v>
      </c>
      <c r="S26" s="103" t="e">
        <f t="shared" si="7"/>
        <v>#VALUE!</v>
      </c>
      <c r="T26" s="103">
        <f t="shared" si="8"/>
        <v>0</v>
      </c>
      <c r="U26" s="103" t="e">
        <f t="shared" si="9"/>
        <v>#VALUE!</v>
      </c>
      <c r="V26" s="227" t="e">
        <f t="shared" si="10"/>
        <v>#VALUE!</v>
      </c>
      <c r="W26" s="101" t="e">
        <f t="shared" si="11"/>
        <v>#N/A</v>
      </c>
      <c r="X26" s="101" t="e">
        <f t="shared" si="26"/>
        <v>#N/A</v>
      </c>
      <c r="Y26" s="101" t="e">
        <f t="shared" si="13"/>
        <v>#N/A</v>
      </c>
      <c r="Z26" s="103" t="e">
        <f t="shared" si="14"/>
        <v>#DIV/0!</v>
      </c>
      <c r="AA26" s="101" t="e">
        <f t="shared" si="15"/>
        <v>#N/A</v>
      </c>
      <c r="AB26" s="101" t="e">
        <f t="shared" si="16"/>
        <v>#N/A</v>
      </c>
      <c r="AC26" s="101" t="e">
        <f t="shared" si="17"/>
        <v>#N/A</v>
      </c>
      <c r="AD26" s="231">
        <f t="shared" si="18"/>
        <v>0</v>
      </c>
      <c r="AE26" s="231" t="e">
        <f t="shared" si="19"/>
        <v>#VALUE!</v>
      </c>
      <c r="AF26" s="231" t="e">
        <f t="shared" si="22"/>
        <v>#VALUE!</v>
      </c>
      <c r="AG26" s="232">
        <f t="shared" si="23"/>
        <v>0</v>
      </c>
      <c r="AH26" s="101" t="e">
        <f t="shared" si="20"/>
        <v>#VALUE!</v>
      </c>
      <c r="AI26" s="232" t="e">
        <f t="shared" si="24"/>
        <v>#VALUE!</v>
      </c>
      <c r="AJ26" s="101" t="str">
        <f t="shared" si="25"/>
        <v/>
      </c>
    </row>
    <row r="27" spans="2:36" x14ac:dyDescent="0.2">
      <c r="B27" s="289"/>
      <c r="C27" s="290"/>
      <c r="D27" s="291"/>
      <c r="E27" s="292"/>
      <c r="F27" s="291"/>
      <c r="G27" s="293"/>
      <c r="H27" s="294"/>
      <c r="I27" s="294"/>
      <c r="J27" s="148" t="str">
        <f t="shared" si="0"/>
        <v/>
      </c>
      <c r="K27" s="140" t="str">
        <f t="shared" si="1"/>
        <v/>
      </c>
      <c r="L27" s="148" t="str">
        <f t="shared" si="2"/>
        <v/>
      </c>
      <c r="M27" s="294" t="str">
        <f t="shared" si="3"/>
        <v/>
      </c>
      <c r="N27" s="230" t="str">
        <f t="shared" si="4"/>
        <v/>
      </c>
      <c r="P27" s="101" t="str">
        <f t="shared" si="5"/>
        <v/>
      </c>
      <c r="Q27" s="101">
        <v>110</v>
      </c>
      <c r="R27" s="101">
        <f t="shared" si="6"/>
        <v>0</v>
      </c>
      <c r="S27" s="103" t="e">
        <f t="shared" si="7"/>
        <v>#VALUE!</v>
      </c>
      <c r="T27" s="103">
        <f t="shared" si="8"/>
        <v>0</v>
      </c>
      <c r="U27" s="103" t="e">
        <f t="shared" si="9"/>
        <v>#VALUE!</v>
      </c>
      <c r="V27" s="227" t="e">
        <f t="shared" si="10"/>
        <v>#VALUE!</v>
      </c>
      <c r="W27" s="101" t="e">
        <f t="shared" si="11"/>
        <v>#N/A</v>
      </c>
      <c r="X27" s="101" t="e">
        <f t="shared" si="26"/>
        <v>#N/A</v>
      </c>
      <c r="Y27" s="101" t="e">
        <f t="shared" si="13"/>
        <v>#N/A</v>
      </c>
      <c r="Z27" s="103" t="e">
        <f t="shared" si="14"/>
        <v>#DIV/0!</v>
      </c>
      <c r="AA27" s="101" t="e">
        <f t="shared" si="15"/>
        <v>#N/A</v>
      </c>
      <c r="AB27" s="101" t="e">
        <f t="shared" si="16"/>
        <v>#N/A</v>
      </c>
      <c r="AC27" s="101" t="e">
        <f t="shared" si="17"/>
        <v>#N/A</v>
      </c>
      <c r="AD27" s="231">
        <f t="shared" si="18"/>
        <v>0</v>
      </c>
      <c r="AE27" s="231" t="e">
        <f t="shared" si="19"/>
        <v>#VALUE!</v>
      </c>
      <c r="AF27" s="231" t="e">
        <f t="shared" si="22"/>
        <v>#VALUE!</v>
      </c>
      <c r="AG27" s="232">
        <f t="shared" si="23"/>
        <v>0</v>
      </c>
      <c r="AH27" s="101" t="e">
        <f t="shared" si="20"/>
        <v>#VALUE!</v>
      </c>
      <c r="AI27" s="232" t="e">
        <f t="shared" si="24"/>
        <v>#VALUE!</v>
      </c>
      <c r="AJ27" s="101" t="str">
        <f t="shared" si="25"/>
        <v/>
      </c>
    </row>
    <row r="28" spans="2:36" x14ac:dyDescent="0.2">
      <c r="B28" s="295"/>
      <c r="C28" s="296"/>
      <c r="D28" s="297"/>
      <c r="E28" s="298"/>
      <c r="F28" s="297"/>
      <c r="G28" s="299"/>
      <c r="H28" s="300"/>
      <c r="I28" s="300"/>
      <c r="J28" s="279" t="str">
        <f t="shared" si="0"/>
        <v/>
      </c>
      <c r="K28" s="280" t="str">
        <f t="shared" si="1"/>
        <v/>
      </c>
      <c r="L28" s="279" t="str">
        <f t="shared" si="2"/>
        <v/>
      </c>
      <c r="M28" s="300" t="str">
        <f t="shared" si="3"/>
        <v/>
      </c>
      <c r="N28" s="281" t="str">
        <f t="shared" si="4"/>
        <v/>
      </c>
      <c r="P28" s="101" t="str">
        <f t="shared" si="5"/>
        <v/>
      </c>
      <c r="Q28" s="101">
        <v>110</v>
      </c>
      <c r="R28" s="101">
        <f t="shared" si="6"/>
        <v>0</v>
      </c>
      <c r="S28" s="103" t="e">
        <f t="shared" si="7"/>
        <v>#VALUE!</v>
      </c>
      <c r="T28" s="103">
        <f t="shared" si="8"/>
        <v>0</v>
      </c>
      <c r="U28" s="103" t="e">
        <f t="shared" si="9"/>
        <v>#VALUE!</v>
      </c>
      <c r="V28" s="227" t="e">
        <f t="shared" si="10"/>
        <v>#VALUE!</v>
      </c>
      <c r="W28" s="101" t="e">
        <f t="shared" si="11"/>
        <v>#N/A</v>
      </c>
      <c r="X28" s="101" t="e">
        <f t="shared" si="26"/>
        <v>#N/A</v>
      </c>
      <c r="Y28" s="101" t="e">
        <f t="shared" si="13"/>
        <v>#N/A</v>
      </c>
      <c r="Z28" s="103" t="e">
        <f t="shared" si="14"/>
        <v>#DIV/0!</v>
      </c>
      <c r="AA28" s="101" t="e">
        <f t="shared" si="15"/>
        <v>#N/A</v>
      </c>
      <c r="AB28" s="101" t="e">
        <f t="shared" si="16"/>
        <v>#N/A</v>
      </c>
      <c r="AC28" s="101" t="e">
        <f t="shared" si="17"/>
        <v>#N/A</v>
      </c>
      <c r="AD28" s="231">
        <f t="shared" si="18"/>
        <v>0</v>
      </c>
      <c r="AE28" s="231" t="e">
        <f t="shared" si="19"/>
        <v>#VALUE!</v>
      </c>
      <c r="AF28" s="231" t="e">
        <f t="shared" si="22"/>
        <v>#VALUE!</v>
      </c>
      <c r="AG28" s="232">
        <f t="shared" si="23"/>
        <v>0</v>
      </c>
      <c r="AH28" s="101" t="e">
        <f t="shared" si="20"/>
        <v>#VALUE!</v>
      </c>
      <c r="AI28" s="232" t="e">
        <f t="shared" si="24"/>
        <v>#VALUE!</v>
      </c>
      <c r="AJ28" s="101" t="str">
        <f t="shared" si="25"/>
        <v/>
      </c>
    </row>
    <row r="29" spans="2:36" x14ac:dyDescent="0.2">
      <c r="B29" s="289"/>
      <c r="C29" s="290"/>
      <c r="D29" s="291"/>
      <c r="E29" s="292"/>
      <c r="F29" s="291"/>
      <c r="G29" s="293"/>
      <c r="H29" s="294"/>
      <c r="I29" s="294"/>
      <c r="J29" s="148" t="str">
        <f t="shared" si="0"/>
        <v/>
      </c>
      <c r="K29" s="140" t="str">
        <f t="shared" si="1"/>
        <v/>
      </c>
      <c r="L29" s="148" t="str">
        <f t="shared" si="2"/>
        <v/>
      </c>
      <c r="M29" s="294" t="str">
        <f t="shared" si="3"/>
        <v/>
      </c>
      <c r="N29" s="230" t="str">
        <f t="shared" si="4"/>
        <v/>
      </c>
      <c r="P29" s="101" t="str">
        <f t="shared" si="5"/>
        <v/>
      </c>
      <c r="Q29" s="101">
        <v>110</v>
      </c>
      <c r="R29" s="101">
        <f t="shared" si="6"/>
        <v>0</v>
      </c>
      <c r="S29" s="103" t="e">
        <f t="shared" si="7"/>
        <v>#VALUE!</v>
      </c>
      <c r="T29" s="103">
        <f t="shared" si="8"/>
        <v>0</v>
      </c>
      <c r="U29" s="103" t="e">
        <f t="shared" si="9"/>
        <v>#VALUE!</v>
      </c>
      <c r="V29" s="227" t="e">
        <f t="shared" si="10"/>
        <v>#VALUE!</v>
      </c>
      <c r="W29" s="101" t="e">
        <f t="shared" si="11"/>
        <v>#N/A</v>
      </c>
      <c r="X29" s="101" t="e">
        <f t="shared" si="26"/>
        <v>#N/A</v>
      </c>
      <c r="Y29" s="101" t="e">
        <f t="shared" si="13"/>
        <v>#N/A</v>
      </c>
      <c r="Z29" s="103" t="e">
        <f t="shared" si="14"/>
        <v>#DIV/0!</v>
      </c>
      <c r="AA29" s="101" t="e">
        <f t="shared" si="15"/>
        <v>#N/A</v>
      </c>
      <c r="AB29" s="101" t="e">
        <f t="shared" si="16"/>
        <v>#N/A</v>
      </c>
      <c r="AC29" s="101" t="e">
        <f t="shared" si="17"/>
        <v>#N/A</v>
      </c>
      <c r="AD29" s="231">
        <f t="shared" si="18"/>
        <v>0</v>
      </c>
      <c r="AE29" s="231" t="e">
        <f t="shared" si="19"/>
        <v>#VALUE!</v>
      </c>
      <c r="AF29" s="231" t="e">
        <f t="shared" si="22"/>
        <v>#VALUE!</v>
      </c>
      <c r="AG29" s="232">
        <f t="shared" si="23"/>
        <v>0</v>
      </c>
      <c r="AH29" s="101" t="e">
        <f t="shared" si="20"/>
        <v>#VALUE!</v>
      </c>
      <c r="AI29" s="232" t="e">
        <f t="shared" si="24"/>
        <v>#VALUE!</v>
      </c>
      <c r="AJ29" s="101" t="str">
        <f t="shared" si="25"/>
        <v/>
      </c>
    </row>
    <row r="30" spans="2:36" x14ac:dyDescent="0.2">
      <c r="B30" s="295"/>
      <c r="C30" s="296"/>
      <c r="D30" s="297"/>
      <c r="E30" s="298"/>
      <c r="F30" s="297"/>
      <c r="G30" s="299"/>
      <c r="H30" s="300"/>
      <c r="I30" s="300"/>
      <c r="J30" s="279" t="str">
        <f t="shared" si="0"/>
        <v/>
      </c>
      <c r="K30" s="280" t="str">
        <f t="shared" si="1"/>
        <v/>
      </c>
      <c r="L30" s="279" t="str">
        <f t="shared" si="2"/>
        <v/>
      </c>
      <c r="M30" s="300" t="str">
        <f t="shared" si="3"/>
        <v/>
      </c>
      <c r="N30" s="281" t="str">
        <f t="shared" si="4"/>
        <v/>
      </c>
      <c r="P30" s="101" t="str">
        <f t="shared" si="5"/>
        <v/>
      </c>
      <c r="Q30" s="101">
        <v>110</v>
      </c>
      <c r="R30" s="101">
        <f t="shared" si="6"/>
        <v>0</v>
      </c>
      <c r="S30" s="103" t="e">
        <f t="shared" si="7"/>
        <v>#VALUE!</v>
      </c>
      <c r="T30" s="103">
        <f t="shared" si="8"/>
        <v>0</v>
      </c>
      <c r="U30" s="103" t="e">
        <f t="shared" si="9"/>
        <v>#VALUE!</v>
      </c>
      <c r="V30" s="227" t="e">
        <f t="shared" si="10"/>
        <v>#VALUE!</v>
      </c>
      <c r="W30" s="101" t="e">
        <f t="shared" si="11"/>
        <v>#N/A</v>
      </c>
      <c r="X30" s="101" t="e">
        <f t="shared" si="26"/>
        <v>#N/A</v>
      </c>
      <c r="Y30" s="101" t="e">
        <f t="shared" si="13"/>
        <v>#N/A</v>
      </c>
      <c r="Z30" s="103" t="e">
        <f t="shared" si="14"/>
        <v>#DIV/0!</v>
      </c>
      <c r="AA30" s="101" t="e">
        <f t="shared" si="15"/>
        <v>#N/A</v>
      </c>
      <c r="AB30" s="101" t="e">
        <f t="shared" si="16"/>
        <v>#N/A</v>
      </c>
      <c r="AC30" s="101" t="e">
        <f t="shared" si="17"/>
        <v>#N/A</v>
      </c>
      <c r="AD30" s="231">
        <f t="shared" si="18"/>
        <v>0</v>
      </c>
      <c r="AE30" s="231" t="e">
        <f t="shared" si="19"/>
        <v>#VALUE!</v>
      </c>
      <c r="AF30" s="231" t="e">
        <f t="shared" si="22"/>
        <v>#VALUE!</v>
      </c>
      <c r="AG30" s="232">
        <f t="shared" si="23"/>
        <v>0</v>
      </c>
      <c r="AH30" s="101" t="e">
        <f t="shared" si="20"/>
        <v>#VALUE!</v>
      </c>
      <c r="AI30" s="232" t="e">
        <f t="shared" si="24"/>
        <v>#VALUE!</v>
      </c>
      <c r="AJ30" s="101" t="str">
        <f t="shared" si="25"/>
        <v/>
      </c>
    </row>
    <row r="31" spans="2:36" x14ac:dyDescent="0.2">
      <c r="B31" s="198"/>
      <c r="C31" s="198"/>
      <c r="D31" s="198"/>
      <c r="E31" s="198"/>
      <c r="F31" s="198"/>
      <c r="G31" s="148"/>
      <c r="H31" s="148"/>
      <c r="I31" s="148"/>
      <c r="N31" s="233"/>
    </row>
    <row r="32" spans="2:36" ht="28.5" customHeight="1" x14ac:dyDescent="0.2">
      <c r="B32" s="511" t="str">
        <f>VLOOKUP(10,TXT,$F$3,0)</f>
        <v>Heizmedium</v>
      </c>
      <c r="C32" s="511"/>
      <c r="D32" s="512" t="str">
        <f>CONCATENATE(D3,"°"," / ",D4," °C")</f>
        <v>75° / 65 °C</v>
      </c>
      <c r="E32" s="512"/>
      <c r="F32" s="282"/>
      <c r="G32" s="282"/>
      <c r="H32" s="282"/>
      <c r="I32" s="282"/>
      <c r="J32" s="513" t="str">
        <f>VLOOKUP(68,TXT,$F$3,0)</f>
        <v>Raumtemperatur</v>
      </c>
      <c r="K32" s="513"/>
      <c r="L32" s="513"/>
      <c r="M32" s="514">
        <f>SUM(D5)</f>
        <v>20</v>
      </c>
      <c r="N32" s="514"/>
    </row>
    <row r="33" spans="2:14" x14ac:dyDescent="0.2">
      <c r="B33" s="141" t="str">
        <f>VLOOKUP(84,TXT,$F$3,0)</f>
        <v>Wärmeleistungen bei isothermer Lufteinführung in Anlehnung an EN 442-2</v>
      </c>
      <c r="C33" s="141"/>
      <c r="D33" s="141"/>
      <c r="E33" s="141"/>
      <c r="F33" s="141"/>
      <c r="N33" s="121"/>
    </row>
    <row r="34" spans="2:14" x14ac:dyDescent="0.2"/>
    <row r="35" spans="2:14" x14ac:dyDescent="0.2">
      <c r="B35" s="183" t="s">
        <v>1448</v>
      </c>
      <c r="C35" s="120" t="str">
        <f>VLOOKUP(31,TXT,$F$3,0)</f>
        <v>Gesamtlänge Bodenkonvektor</v>
      </c>
      <c r="D35" s="183"/>
      <c r="E35" s="183"/>
      <c r="F35" s="120"/>
      <c r="I35" s="120"/>
    </row>
    <row r="36" spans="2:14" x14ac:dyDescent="0.2">
      <c r="B36" s="183" t="s">
        <v>1449</v>
      </c>
      <c r="C36" s="120" t="str">
        <f>VLOOKUP(32,TXT,$F$3,0)</f>
        <v>Breite Bodenkonvektor</v>
      </c>
      <c r="D36" s="183"/>
      <c r="E36" s="183"/>
      <c r="F36" s="120"/>
      <c r="I36" s="120"/>
    </row>
    <row r="37" spans="2:14" x14ac:dyDescent="0.2">
      <c r="B37" s="183" t="s">
        <v>1450</v>
      </c>
      <c r="C37" s="120" t="str">
        <f>VLOOKUP(33,TXT,$F$3,0)</f>
        <v>Höhe Bodenkonvektor</v>
      </c>
      <c r="D37" s="183"/>
      <c r="E37" s="183"/>
      <c r="F37" s="120"/>
      <c r="I37" s="120"/>
    </row>
    <row r="38" spans="2:14" x14ac:dyDescent="0.2">
      <c r="B38" s="183" t="s">
        <v>1426</v>
      </c>
      <c r="C38" s="120" t="str">
        <f>VLOOKUP(83,TXT,$F$3,0)</f>
        <v>Heizelement Länge</v>
      </c>
    </row>
    <row r="39" spans="2:14" x14ac:dyDescent="0.2">
      <c r="B39" s="183" t="s">
        <v>1451</v>
      </c>
      <c r="C39" s="120" t="str">
        <f>VLOOKUP(85,TXT,$F$3,0)</f>
        <v>Lamellierte Heizelement Länge belüftet</v>
      </c>
    </row>
    <row r="40" spans="2:14" x14ac:dyDescent="0.2"/>
    <row r="41" spans="2:14" x14ac:dyDescent="0.2"/>
  </sheetData>
  <sheetProtection algorithmName="SHA-512" hashValue="VIH3er5zZe4Vup1pS2/KwfRN1dHHEKSl/lCVAl/2+iPiEgO69t3YqhO3G0oPAeEehdcaW11/93+PgZVXC354cA==" saltValue="h7NSr8gZ9ZlKeUtrw+ZarQ==" spinCount="100000" sheet="1" objects="1" scenarios="1" selectLockedCells="1"/>
  <protectedRanges>
    <protectedRange sqref="F4:F5" name="Bereich1_1_1"/>
  </protectedRanges>
  <dataConsolidate/>
  <mergeCells count="26">
    <mergeCell ref="B32:C32"/>
    <mergeCell ref="D32:E32"/>
    <mergeCell ref="J32:L32"/>
    <mergeCell ref="M32:N32"/>
    <mergeCell ref="G9:G10"/>
    <mergeCell ref="H9:H10"/>
    <mergeCell ref="I9:I10"/>
    <mergeCell ref="J9:J10"/>
    <mergeCell ref="K9:L9"/>
    <mergeCell ref="M9:M10"/>
    <mergeCell ref="B9:B10"/>
    <mergeCell ref="C9:C10"/>
    <mergeCell ref="D9:D10"/>
    <mergeCell ref="E9:E10"/>
    <mergeCell ref="F9:F10"/>
    <mergeCell ref="B7:E7"/>
    <mergeCell ref="F7:N7"/>
    <mergeCell ref="N9:N10"/>
    <mergeCell ref="F3:F5"/>
    <mergeCell ref="D2:E2"/>
    <mergeCell ref="B3:C3"/>
    <mergeCell ref="D3:E3"/>
    <mergeCell ref="B4:C4"/>
    <mergeCell ref="D4:E4"/>
    <mergeCell ref="B5:C5"/>
    <mergeCell ref="D5:E5"/>
  </mergeCells>
  <conditionalFormatting sqref="C11:C30">
    <cfRule type="expression" dxfId="9" priority="7">
      <formula>OR(V11&gt;Y11,V11&lt;20,(C11/D11)&gt;Y11)</formula>
    </cfRule>
  </conditionalFormatting>
  <conditionalFormatting sqref="D3:D5">
    <cfRule type="expression" dxfId="8" priority="1">
      <formula>$H$4&lt;&gt;""</formula>
    </cfRule>
    <cfRule type="expression" dxfId="7" priority="3">
      <formula>$I$4&lt;&gt;""</formula>
    </cfRule>
    <cfRule type="expression" dxfId="6" priority="4">
      <formula>$K$3&lt;&gt;""</formula>
    </cfRule>
  </conditionalFormatting>
  <conditionalFormatting sqref="D11:D30">
    <cfRule type="expression" dxfId="5" priority="6">
      <formula>Z11&gt;3.5</formula>
    </cfRule>
  </conditionalFormatting>
  <conditionalFormatting sqref="E11:E30">
    <cfRule type="expression" dxfId="4" priority="5">
      <formula>E11&gt;AA11</formula>
    </cfRule>
  </conditionalFormatting>
  <conditionalFormatting sqref="I11:I30">
    <cfRule type="expression" dxfId="3" priority="8" stopIfTrue="1">
      <formula>ERROR.TYPE(J11)=7</formula>
    </cfRule>
  </conditionalFormatting>
  <conditionalFormatting sqref="L11:L30">
    <cfRule type="expression" dxfId="2" priority="9">
      <formula>(VLOOKUP(H11,CVP_L,2,-1))&lt;L11</formula>
    </cfRule>
  </conditionalFormatting>
  <conditionalFormatting sqref="M11:M30">
    <cfRule type="expression" dxfId="1" priority="10">
      <formula>M11&gt;S11</formula>
    </cfRule>
    <cfRule type="expression" dxfId="0" priority="12">
      <formula>((C11/M11)*1000)&gt;Y11</formula>
    </cfRule>
  </conditionalFormatting>
  <dataValidations count="26">
    <dataValidation type="list" allowBlank="1" showInputMessage="1" showErrorMessage="1" sqref="I30" xr:uid="{4EF558CF-472B-471C-93F1-27C7F83F4441}">
      <formula1>INDIRECT($AJ$30)</formula1>
    </dataValidation>
    <dataValidation type="list" allowBlank="1" showInputMessage="1" showErrorMessage="1" sqref="I29" xr:uid="{F0F253DD-D598-4E6B-8519-05D69FC892F1}">
      <formula1>INDIRECT($AJ$29)</formula1>
    </dataValidation>
    <dataValidation type="list" allowBlank="1" showInputMessage="1" showErrorMessage="1" sqref="I28" xr:uid="{0FFB6CAE-F867-483E-AF73-9D731778D8F9}">
      <formula1>INDIRECT($AJ$28)</formula1>
    </dataValidation>
    <dataValidation type="list" allowBlank="1" showInputMessage="1" showErrorMessage="1" sqref="I27" xr:uid="{4191667F-71C9-4A67-AB7F-4E612E0821E7}">
      <formula1>INDIRECT($AJ$27)</formula1>
    </dataValidation>
    <dataValidation type="list" allowBlank="1" showInputMessage="1" showErrorMessage="1" sqref="I26" xr:uid="{50C4475B-D187-4A5D-9AD7-9E0CD555186E}">
      <formula1>INDIRECT($AJ$26)</formula1>
    </dataValidation>
    <dataValidation type="list" allowBlank="1" showInputMessage="1" showErrorMessage="1" sqref="I25" xr:uid="{77683260-99B8-4D04-A9B0-8785345ADA4E}">
      <formula1>INDIRECT($AJ$25)</formula1>
    </dataValidation>
    <dataValidation type="list" allowBlank="1" showInputMessage="1" showErrorMessage="1" sqref="I24" xr:uid="{D0F0C264-0C7C-4A96-8C7E-A5E76DB38D04}">
      <formula1>INDIRECT($AJ$24)</formula1>
    </dataValidation>
    <dataValidation type="list" allowBlank="1" showInputMessage="1" showErrorMessage="1" sqref="I23" xr:uid="{13E61D52-9444-47DD-88EC-984BE792463E}">
      <formula1>INDIRECT($AJ$23)</formula1>
    </dataValidation>
    <dataValidation type="list" allowBlank="1" showInputMessage="1" showErrorMessage="1" sqref="I22" xr:uid="{E58F87E1-9C3D-4FB6-A954-9AE36D6720CA}">
      <formula1>INDIRECT($AJ$22)</formula1>
    </dataValidation>
    <dataValidation type="list" allowBlank="1" showInputMessage="1" showErrorMessage="1" sqref="I21" xr:uid="{3089270A-A80F-43F3-986F-484426E82FB6}">
      <formula1>INDIRECT($AJ$21)</formula1>
    </dataValidation>
    <dataValidation type="list" allowBlank="1" showInputMessage="1" showErrorMessage="1" sqref="I20" xr:uid="{823FC42C-2AE0-4034-9508-93B3C2F3A730}">
      <formula1>INDIRECT($AJ$20)</formula1>
    </dataValidation>
    <dataValidation type="list" allowBlank="1" showInputMessage="1" showErrorMessage="1" sqref="I19" xr:uid="{F11F4D88-BC9C-42D7-9375-59EF7EB04EA7}">
      <formula1>INDIRECT($AJ$19)</formula1>
    </dataValidation>
    <dataValidation type="list" allowBlank="1" showInputMessage="1" showErrorMessage="1" sqref="I18" xr:uid="{996CDC33-0169-41DF-AEBD-670871550B37}">
      <formula1>INDIRECT($AJ$18)</formula1>
    </dataValidation>
    <dataValidation type="list" allowBlank="1" showInputMessage="1" showErrorMessage="1" sqref="I17" xr:uid="{9197E8AB-25E2-40BA-BCEC-E0F1E69D6BC5}">
      <formula1>INDIRECT($AJ$17)</formula1>
    </dataValidation>
    <dataValidation type="list" allowBlank="1" showInputMessage="1" showErrorMessage="1" sqref="I16" xr:uid="{D617AEAC-A93C-4012-8E73-D46FDF31C600}">
      <formula1>INDIRECT($AJ$16)</formula1>
    </dataValidation>
    <dataValidation type="list" allowBlank="1" showInputMessage="1" showErrorMessage="1" sqref="I15" xr:uid="{29E08613-99D3-4511-8B20-35856C8D0900}">
      <formula1>INDIRECT($AJ$15)</formula1>
    </dataValidation>
    <dataValidation type="list" allowBlank="1" showInputMessage="1" showErrorMessage="1" sqref="I14" xr:uid="{D6D9A586-2029-484B-8FAB-3DF48869A996}">
      <formula1>INDIRECT($AJ$14)</formula1>
    </dataValidation>
    <dataValidation type="list" allowBlank="1" showInputMessage="1" showErrorMessage="1" sqref="I13" xr:uid="{41955813-8721-4432-A543-7C623DDB569A}">
      <formula1>INDIRECT($AJ$13)</formula1>
    </dataValidation>
    <dataValidation type="list" allowBlank="1" showInputMessage="1" showErrorMessage="1" sqref="I12" xr:uid="{2643A4BE-FCC4-4F6C-A568-F062D071D7F8}">
      <formula1>INDIRECT($AJ$12)</formula1>
    </dataValidation>
    <dataValidation type="list" allowBlank="1" showInputMessage="1" showErrorMessage="1" sqref="I11" xr:uid="{93507909-7112-4883-8D33-86A77AA87A49}">
      <formula1>INDIRECT($AJ$11)</formula1>
    </dataValidation>
    <dataValidation type="list" allowBlank="1" showInputMessage="1" showErrorMessage="1" sqref="G11:G30" xr:uid="{79653B9F-3C00-4F65-8585-DAC8D8F37E4D}">
      <formula1>"ARIA 176,ARIA 224,ARIA 240,ARIA 272,ARIA 304,ARIA 336,ARIA 368,ARIA 176 P+,ARIA 224 P+,ARIA 240 P+,ARIA 272 P+,ARIA 304 P+,ARIA 336 P+,ARIA 368 P+"</formula1>
    </dataValidation>
    <dataValidation type="list" allowBlank="1" showInputMessage="1" showErrorMessage="1" sqref="F11:F30" xr:uid="{CDD2611B-CCAB-4E8A-813D-32575985EC18}">
      <formula1>"Unten,Seitlich"</formula1>
    </dataValidation>
    <dataValidation type="whole" allowBlank="1" showInputMessage="1" showErrorMessage="1" sqref="F3:F5" xr:uid="{9FCA0246-225B-4D51-88C0-032EEC8357EE}">
      <formula1>2</formula1>
      <formula2>3</formula2>
    </dataValidation>
    <dataValidation type="whole" allowBlank="1" showInputMessage="1" showErrorMessage="1" sqref="D5:E5" xr:uid="{7962434B-3A54-4621-A9CD-C42E3CDDECEC}">
      <formula1>15</formula1>
      <formula2>29</formula2>
    </dataValidation>
    <dataValidation type="whole" allowBlank="1" showInputMessage="1" showErrorMessage="1" sqref="D4:E4" xr:uid="{F8BA084F-7834-473C-9883-58FE7B1E0D43}">
      <formula1>25</formula1>
      <formula2>85</formula2>
    </dataValidation>
    <dataValidation type="whole" allowBlank="1" showInputMessage="1" showErrorMessage="1" sqref="D3:E3" xr:uid="{F1D66ADC-247C-4A82-A8CF-973BD9EEE4A1}">
      <formula1>30</formula1>
      <formula2>90</formula2>
    </dataValidation>
  </dataValidations>
  <pageMargins left="0.59055118110236227" right="0.39370078740157483" top="0.98425196850393704" bottom="0.98425196850393704" header="0.31496062992125984" footer="0.51181102362204722"/>
  <pageSetup paperSize="9" orientation="landscape" r:id="rId1"/>
  <headerFooter alignWithMargins="0">
    <oddHeader>&amp;C&amp;G</oddHeader>
    <oddFooter>&amp;C&amp;G&amp;R&amp;8 10.2021</oddFooter>
  </headerFooter>
  <ignoredErrors>
    <ignoredError sqref="M11:M31" unlockedFormula="1"/>
  </ignoredError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36"/>
  <sheetViews>
    <sheetView workbookViewId="0">
      <selection sqref="A1:AC939"/>
    </sheetView>
  </sheetViews>
  <sheetFormatPr baseColWidth="10" defaultRowHeight="15" x14ac:dyDescent="0.25"/>
  <cols>
    <col min="1" max="1" width="11.5703125" style="83"/>
  </cols>
  <sheetData>
    <row r="1" spans="1:16" x14ac:dyDescent="0.25">
      <c r="A1" t="s">
        <v>1065</v>
      </c>
    </row>
    <row r="2" spans="1:16" x14ac:dyDescent="0.25">
      <c r="A2" s="100" t="s">
        <v>1064</v>
      </c>
      <c r="B2" s="100">
        <v>4</v>
      </c>
      <c r="C2" t="s">
        <v>1</v>
      </c>
      <c r="D2" t="s">
        <v>2</v>
      </c>
      <c r="E2" t="s">
        <v>3</v>
      </c>
      <c r="F2" t="s">
        <v>944</v>
      </c>
      <c r="G2" t="s">
        <v>4</v>
      </c>
      <c r="H2" t="s">
        <v>945</v>
      </c>
      <c r="I2" t="s">
        <v>5</v>
      </c>
      <c r="J2" s="99" t="s">
        <v>1057</v>
      </c>
      <c r="K2" s="99" t="s">
        <v>1058</v>
      </c>
      <c r="L2" s="99" t="s">
        <v>1059</v>
      </c>
      <c r="M2" s="99" t="s">
        <v>1060</v>
      </c>
      <c r="N2" s="99" t="s">
        <v>1061</v>
      </c>
      <c r="O2" s="99" t="s">
        <v>1062</v>
      </c>
      <c r="P2" s="99" t="s">
        <v>1063</v>
      </c>
    </row>
    <row r="3" spans="1:16" x14ac:dyDescent="0.25">
      <c r="A3" s="83">
        <f t="shared" ref="A3:A6" si="0">VALUE(RIGHT(B3,2))</f>
        <v>24</v>
      </c>
      <c r="B3" t="s">
        <v>1133</v>
      </c>
      <c r="C3" s="84"/>
      <c r="D3" s="84"/>
      <c r="E3" s="84"/>
      <c r="F3" s="84"/>
      <c r="G3" s="84"/>
      <c r="H3" s="84"/>
      <c r="I3" s="84"/>
    </row>
    <row r="4" spans="1:16" x14ac:dyDescent="0.25">
      <c r="A4" s="83">
        <f t="shared" si="0"/>
        <v>25</v>
      </c>
      <c r="B4" t="s">
        <v>414</v>
      </c>
      <c r="C4">
        <f>VLOOKUP($B4,LEISTUNGEN_K,VLOOKUP(CONCATENATE($A$2,$B$2),$A$9:$B$12,2,0)+2,0)</f>
        <v>318</v>
      </c>
      <c r="D4">
        <f>VLOOKUP($B4,LEISTUNGEN_K,VLOOKUP(CONCATENATE($A$2,$B$2),$A$9:$B$12,2,0)+3,0)</f>
        <v>295</v>
      </c>
      <c r="E4">
        <f>VLOOKUP($B4,LEISTUNGEN_K,VLOOKUP(CONCATENATE($A$2,$B$2),$A$9:$B$12,2,0)+4,0)</f>
        <v>254</v>
      </c>
      <c r="F4">
        <f>VLOOKUP($B4,LEISTUNGEN_K,VLOOKUP(CONCATENATE($A$2,$B$2),$A$9:$B$12,2,0)+5,0)</f>
        <v>224</v>
      </c>
      <c r="G4">
        <f>VLOOKUP($B4,LEISTUNGEN_K,VLOOKUP(CONCATENATE($A$2,$B$2),$A$9:$B$12,2,0)+6,0)</f>
        <v>193</v>
      </c>
      <c r="H4">
        <f>VLOOKUP($B4,LEISTUNGEN_K,VLOOKUP(CONCATENATE($A$2,$B$2),$A$9:$B$12,2,0)+7,0)</f>
        <v>136</v>
      </c>
      <c r="I4">
        <f>VLOOKUP($B4,LEISTUNGEN_K,VLOOKUP(CONCATENATE($A$2,$B$2),$A$9:$B$12,2,0)+8,0)</f>
        <v>78</v>
      </c>
      <c r="J4">
        <f>SUM(C3/C4)</f>
        <v>0</v>
      </c>
      <c r="K4">
        <f t="shared" ref="K4:P7" si="1">SUM(D3/D4)</f>
        <v>0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</row>
    <row r="5" spans="1:16" x14ac:dyDescent="0.25">
      <c r="A5" s="83">
        <f t="shared" si="0"/>
        <v>26</v>
      </c>
      <c r="B5" t="s">
        <v>501</v>
      </c>
      <c r="C5">
        <f>VLOOKUP($B5,LEISTUNGEN_K,VLOOKUP(CONCATENATE($A$2,$B$2),$A$9:$B$12,2,0)+2,0)</f>
        <v>371</v>
      </c>
      <c r="D5">
        <f>VLOOKUP($B5,LEISTUNGEN_K,VLOOKUP(CONCATENATE($A$2,$B$2),$A$9:$B$12,2,0)+3,0)</f>
        <v>342</v>
      </c>
      <c r="E5">
        <f>VLOOKUP($B5,LEISTUNGEN_K,VLOOKUP(CONCATENATE($A$2,$B$2),$A$9:$B$12,2,0)+4,0)</f>
        <v>291</v>
      </c>
      <c r="F5">
        <f>VLOOKUP($B5,LEISTUNGEN_K,VLOOKUP(CONCATENATE($A$2,$B$2),$A$9:$B$12,2,0)+5,0)</f>
        <v>255</v>
      </c>
      <c r="G5">
        <f>VLOOKUP($B5,LEISTUNGEN_K,VLOOKUP(CONCATENATE($A$2,$B$2),$A$9:$B$12,2,0)+6,0)</f>
        <v>219</v>
      </c>
      <c r="H5">
        <f>VLOOKUP($B5,LEISTUNGEN_K,VLOOKUP(CONCATENATE($A$2,$B$2),$A$9:$B$12,2,0)+7,0)</f>
        <v>153</v>
      </c>
      <c r="I5">
        <f>VLOOKUP($B5,LEISTUNGEN_K,VLOOKUP(CONCATENATE($A$2,$B$2),$A$9:$B$12,2,0)+8,0)</f>
        <v>87</v>
      </c>
      <c r="J5">
        <f>SUM(C4/C5)</f>
        <v>0.8571428571428571</v>
      </c>
      <c r="K5">
        <f t="shared" si="1"/>
        <v>0.86257309941520466</v>
      </c>
      <c r="L5">
        <f t="shared" si="1"/>
        <v>0.87285223367697595</v>
      </c>
      <c r="M5">
        <f t="shared" si="1"/>
        <v>0.8784313725490196</v>
      </c>
      <c r="N5">
        <f t="shared" si="1"/>
        <v>0.88127853881278539</v>
      </c>
      <c r="O5">
        <f t="shared" si="1"/>
        <v>0.88888888888888884</v>
      </c>
      <c r="P5">
        <f t="shared" si="1"/>
        <v>0.89655172413793105</v>
      </c>
    </row>
    <row r="6" spans="1:16" x14ac:dyDescent="0.25">
      <c r="A6" s="83">
        <f t="shared" si="0"/>
        <v>27</v>
      </c>
      <c r="B6" t="s">
        <v>593</v>
      </c>
      <c r="C6">
        <f>VLOOKUP($B6,LEISTUNGEN_K,VLOOKUP(CONCATENATE($A$2,$B$2),$A$9:$B$12,2,0)+2,0)</f>
        <v>421</v>
      </c>
      <c r="D6">
        <f>VLOOKUP($B6,LEISTUNGEN_K,VLOOKUP(CONCATENATE($A$2,$B$2),$A$9:$B$12,2,0)+3,0)</f>
        <v>385</v>
      </c>
      <c r="E6">
        <f>VLOOKUP($B6,LEISTUNGEN_K,VLOOKUP(CONCATENATE($A$2,$B$2),$A$9:$B$12,2,0)+4,0)</f>
        <v>328</v>
      </c>
      <c r="F6">
        <f>VLOOKUP($B6,LEISTUNGEN_K,VLOOKUP(CONCATENATE($A$2,$B$2),$A$9:$B$12,2,0)+5,0)</f>
        <v>286</v>
      </c>
      <c r="G6">
        <f>VLOOKUP($B6,LEISTUNGEN_K,VLOOKUP(CONCATENATE($A$2,$B$2),$A$9:$B$12,2,0)+6,0)</f>
        <v>243</v>
      </c>
      <c r="H6">
        <f>VLOOKUP($B6,LEISTUNGEN_K,VLOOKUP(CONCATENATE($A$2,$B$2),$A$9:$B$12,2,0)+7,0)</f>
        <v>170</v>
      </c>
      <c r="I6">
        <f>VLOOKUP($B6,LEISTUNGEN_K,VLOOKUP(CONCATENATE($A$2,$B$2),$A$9:$B$12,2,0)+8,0)</f>
        <v>96</v>
      </c>
      <c r="J6">
        <f>SUM(C5/C6)</f>
        <v>0.88123515439429934</v>
      </c>
      <c r="K6">
        <f t="shared" si="1"/>
        <v>0.88831168831168827</v>
      </c>
      <c r="L6">
        <f t="shared" si="1"/>
        <v>0.88719512195121952</v>
      </c>
      <c r="M6">
        <f t="shared" si="1"/>
        <v>0.89160839160839156</v>
      </c>
      <c r="N6">
        <f t="shared" si="1"/>
        <v>0.90123456790123457</v>
      </c>
      <c r="O6">
        <f t="shared" si="1"/>
        <v>0.9</v>
      </c>
      <c r="P6">
        <f t="shared" si="1"/>
        <v>0.90625</v>
      </c>
    </row>
    <row r="7" spans="1:16" x14ac:dyDescent="0.25">
      <c r="A7" s="83">
        <f>VALUE(RIGHT(B7,2))</f>
        <v>28</v>
      </c>
      <c r="B7" s="99" t="s">
        <v>692</v>
      </c>
      <c r="C7">
        <f>VLOOKUP($B7,LEISTUNGEN_K,VLOOKUP(CONCATENATE($A$2,$B$2),$A$9:$B$12,2,0)+2,0)</f>
        <v>470</v>
      </c>
      <c r="D7">
        <f>VLOOKUP($B7,LEISTUNGEN_K,VLOOKUP(CONCATENATE($A$2,$B$2),$A$9:$B$12,2,0)+3,0)</f>
        <v>428</v>
      </c>
      <c r="E7">
        <f>VLOOKUP($B7,LEISTUNGEN_K,VLOOKUP(CONCATENATE($A$2,$B$2),$A$9:$B$12,2,0)+4,0)</f>
        <v>361</v>
      </c>
      <c r="F7">
        <f>VLOOKUP($B7,LEISTUNGEN_K,VLOOKUP(CONCATENATE($A$2,$B$2),$A$9:$B$12,2,0)+5,0)</f>
        <v>314</v>
      </c>
      <c r="G7">
        <f>VLOOKUP($B7,LEISTUNGEN_K,VLOOKUP(CONCATENATE($A$2,$B$2),$A$9:$B$12,2,0)+6,0)</f>
        <v>267</v>
      </c>
      <c r="H7">
        <f>VLOOKUP($B7,LEISTUNGEN_K,VLOOKUP(CONCATENATE($A$2,$B$2),$A$9:$B$12,2,0)+7,0)</f>
        <v>186</v>
      </c>
      <c r="I7">
        <f>VLOOKUP($B7,LEISTUNGEN_K,VLOOKUP(CONCATENATE($A$2,$B$2),$A$9:$B$12,2,0)+8,0)</f>
        <v>105</v>
      </c>
      <c r="J7">
        <f>SUM(C6/C7)</f>
        <v>0.89574468085106385</v>
      </c>
      <c r="K7">
        <f t="shared" si="1"/>
        <v>0.89953271028037385</v>
      </c>
      <c r="L7">
        <f t="shared" si="1"/>
        <v>0.90858725761772852</v>
      </c>
      <c r="M7">
        <f t="shared" si="1"/>
        <v>0.91082802547770703</v>
      </c>
      <c r="N7">
        <f t="shared" si="1"/>
        <v>0.9101123595505618</v>
      </c>
      <c r="O7">
        <f t="shared" si="1"/>
        <v>0.91397849462365588</v>
      </c>
      <c r="P7">
        <f t="shared" si="1"/>
        <v>0.91428571428571426</v>
      </c>
    </row>
    <row r="9" spans="1:16" x14ac:dyDescent="0.25">
      <c r="A9" s="83" t="s">
        <v>1066</v>
      </c>
      <c r="B9">
        <v>0</v>
      </c>
      <c r="J9">
        <f>SUM(J4/J5)</f>
        <v>0</v>
      </c>
      <c r="K9">
        <f t="shared" ref="K9:P9" si="2">SUM(K4/K5)</f>
        <v>0</v>
      </c>
      <c r="L9">
        <f t="shared" si="2"/>
        <v>0</v>
      </c>
      <c r="M9">
        <f t="shared" si="2"/>
        <v>0</v>
      </c>
      <c r="N9">
        <f t="shared" si="2"/>
        <v>0</v>
      </c>
      <c r="O9">
        <f t="shared" si="2"/>
        <v>0</v>
      </c>
      <c r="P9">
        <f t="shared" si="2"/>
        <v>0</v>
      </c>
    </row>
    <row r="10" spans="1:16" x14ac:dyDescent="0.25">
      <c r="A10" s="83" t="s">
        <v>1067</v>
      </c>
      <c r="B10">
        <v>7</v>
      </c>
      <c r="J10">
        <f>SUM(J5/J6)</f>
        <v>0.97266076241817467</v>
      </c>
      <c r="K10">
        <f t="shared" ref="K10:P10" si="3">SUM(K5/K6)</f>
        <v>0.97102527273349071</v>
      </c>
      <c r="L10">
        <f t="shared" si="3"/>
        <v>0.98383344551906571</v>
      </c>
      <c r="M10">
        <f t="shared" si="3"/>
        <v>0.98522106881968474</v>
      </c>
      <c r="N10">
        <f t="shared" si="3"/>
        <v>0.97785700881966597</v>
      </c>
      <c r="O10">
        <f t="shared" si="3"/>
        <v>0.98765432098765427</v>
      </c>
      <c r="P10">
        <f t="shared" si="3"/>
        <v>0.98929845422116525</v>
      </c>
    </row>
    <row r="11" spans="1:16" x14ac:dyDescent="0.25">
      <c r="A11" s="83" t="s">
        <v>1068</v>
      </c>
      <c r="B11">
        <v>14</v>
      </c>
      <c r="J11">
        <f>SUM(J6/J7)</f>
        <v>0.98380171630717506</v>
      </c>
      <c r="K11">
        <f t="shared" ref="K11:P11" si="4">SUM(K6/K7)</f>
        <v>0.98752572103221448</v>
      </c>
      <c r="L11">
        <f t="shared" si="4"/>
        <v>0.97645560678167764</v>
      </c>
      <c r="M11">
        <f t="shared" si="4"/>
        <v>0.97889872365396835</v>
      </c>
      <c r="N11">
        <f t="shared" si="4"/>
        <v>0.99024538942234419</v>
      </c>
      <c r="O11">
        <f t="shared" si="4"/>
        <v>0.98470588235294121</v>
      </c>
      <c r="P11">
        <f t="shared" si="4"/>
        <v>0.9912109375</v>
      </c>
    </row>
    <row r="12" spans="1:16" x14ac:dyDescent="0.25">
      <c r="A12" s="83" t="s">
        <v>1069</v>
      </c>
      <c r="B12">
        <v>21</v>
      </c>
    </row>
    <row r="26" spans="1:16" x14ac:dyDescent="0.25">
      <c r="A26" t="s">
        <v>1065</v>
      </c>
    </row>
    <row r="27" spans="1:16" x14ac:dyDescent="0.25">
      <c r="A27" s="100" t="s">
        <v>1064</v>
      </c>
      <c r="B27" s="100">
        <v>2</v>
      </c>
      <c r="C27" t="s">
        <v>1</v>
      </c>
      <c r="D27" t="s">
        <v>2</v>
      </c>
      <c r="E27" t="s">
        <v>3</v>
      </c>
      <c r="F27" t="s">
        <v>944</v>
      </c>
      <c r="G27" t="s">
        <v>4</v>
      </c>
      <c r="H27" t="s">
        <v>945</v>
      </c>
      <c r="I27" t="s">
        <v>5</v>
      </c>
      <c r="J27" s="99" t="s">
        <v>1057</v>
      </c>
      <c r="K27" s="99" t="s">
        <v>1058</v>
      </c>
      <c r="L27" s="99" t="s">
        <v>1059</v>
      </c>
      <c r="M27" s="99" t="s">
        <v>1060</v>
      </c>
      <c r="N27" s="99" t="s">
        <v>1061</v>
      </c>
      <c r="O27" s="99" t="s">
        <v>1062</v>
      </c>
      <c r="P27" s="99" t="s">
        <v>1063</v>
      </c>
    </row>
    <row r="28" spans="1:16" x14ac:dyDescent="0.25">
      <c r="A28" s="83">
        <f t="shared" ref="A28:A31" si="5">VALUE(RIGHT(B28,2))</f>
        <v>25</v>
      </c>
      <c r="B28" t="s">
        <v>1055</v>
      </c>
      <c r="C28">
        <f>VLOOKUP($B28,LEISTUNGEN_K,VLOOKUP(CONCATENATE($A$2,$B$2),$A$9:$B$12,2,0)+2,0)</f>
        <v>139</v>
      </c>
      <c r="D28">
        <f>VLOOKUP($B28,LEISTUNGEN_K,VLOOKUP(CONCATENATE($A$2,$B$2),$A$9:$B$12,2,0)+3,0)</f>
        <v>123</v>
      </c>
      <c r="E28">
        <f>VLOOKUP($B28,LEISTUNGEN_K,VLOOKUP(CONCATENATE($A$2,$B$2),$A$9:$B$12,2,0)+4,0)</f>
        <v>104</v>
      </c>
      <c r="F28">
        <f>VLOOKUP($B28,LEISTUNGEN_K,VLOOKUP(CONCATENATE($A$2,$B$2),$A$9:$B$12,2,0)+5,0)</f>
        <v>88</v>
      </c>
      <c r="G28">
        <f>VLOOKUP($B28,LEISTUNGEN_K,VLOOKUP(CONCATENATE($A$2,$B$2),$A$9:$B$12,2,0)+6,0)</f>
        <v>65</v>
      </c>
      <c r="H28">
        <f>VLOOKUP($B28,LEISTUNGEN_K,VLOOKUP(CONCATENATE($A$2,$B$2),$A$9:$B$12,2,0)+7,0)</f>
        <v>43</v>
      </c>
      <c r="I28">
        <f>VLOOKUP($B28,LEISTUNGEN_K,VLOOKUP(CONCATENATE($A$2,$B$2),$A$9:$B$12,2,0)+8,0)</f>
        <v>22</v>
      </c>
    </row>
    <row r="29" spans="1:16" x14ac:dyDescent="0.25">
      <c r="A29" s="83">
        <f t="shared" si="5"/>
        <v>26</v>
      </c>
      <c r="B29" t="s">
        <v>1054</v>
      </c>
      <c r="C29">
        <f>VLOOKUP($B29,LEISTUNGEN_K,VLOOKUP(CONCATENATE($A$2,$B$2),$A$9:$B$12,2,0)+2,0)</f>
        <v>233</v>
      </c>
      <c r="D29">
        <f>VLOOKUP($B29,LEISTUNGEN_K,VLOOKUP(CONCATENATE($A$2,$B$2),$A$9:$B$12,2,0)+3,0)</f>
        <v>211</v>
      </c>
      <c r="E29">
        <f>VLOOKUP($B29,LEISTUNGEN_K,VLOOKUP(CONCATENATE($A$2,$B$2),$A$9:$B$12,2,0)+4,0)</f>
        <v>184</v>
      </c>
      <c r="F29">
        <f>VLOOKUP($B29,LEISTUNGEN_K,VLOOKUP(CONCATENATE($A$2,$B$2),$A$9:$B$12,2,0)+5,0)</f>
        <v>158</v>
      </c>
      <c r="G29">
        <f>VLOOKUP($B29,LEISTUNGEN_K,VLOOKUP(CONCATENATE($A$2,$B$2),$A$9:$B$12,2,0)+6,0)</f>
        <v>128</v>
      </c>
      <c r="H29">
        <f>VLOOKUP($B29,LEISTUNGEN_K,VLOOKUP(CONCATENATE($A$2,$B$2),$A$9:$B$12,2,0)+7,0)</f>
        <v>91</v>
      </c>
      <c r="I29">
        <f>VLOOKUP($B29,LEISTUNGEN_K,VLOOKUP(CONCATENATE($A$2,$B$2),$A$9:$B$12,2,0)+8,0)</f>
        <v>51</v>
      </c>
      <c r="J29">
        <f>SUM(C28/C29)</f>
        <v>0.59656652360515017</v>
      </c>
      <c r="K29">
        <f t="shared" ref="K29:K32" si="6">SUM(D28/D29)</f>
        <v>0.58293838862559244</v>
      </c>
      <c r="L29">
        <f t="shared" ref="L29:L32" si="7">SUM(E28/E29)</f>
        <v>0.56521739130434778</v>
      </c>
      <c r="M29">
        <f t="shared" ref="M29:M32" si="8">SUM(F28/F29)</f>
        <v>0.55696202531645567</v>
      </c>
      <c r="N29">
        <f t="shared" ref="N29:N32" si="9">SUM(G28/G29)</f>
        <v>0.5078125</v>
      </c>
      <c r="O29">
        <f t="shared" ref="O29:O32" si="10">SUM(H28/H29)</f>
        <v>0.47252747252747251</v>
      </c>
      <c r="P29">
        <f t="shared" ref="P29:P32" si="11">SUM(I28/I29)</f>
        <v>0.43137254901960786</v>
      </c>
    </row>
    <row r="30" spans="1:16" x14ac:dyDescent="0.25">
      <c r="A30" s="83">
        <f t="shared" si="5"/>
        <v>27</v>
      </c>
      <c r="B30" t="s">
        <v>605</v>
      </c>
      <c r="C30">
        <f>VLOOKUP($B30,LEISTUNGEN_K,VLOOKUP(CONCATENATE($A$2,$B$2),$A$9:$B$12,2,0)+2,0)</f>
        <v>303</v>
      </c>
      <c r="D30">
        <f>VLOOKUP($B30,LEISTUNGEN_K,VLOOKUP(CONCATENATE($A$2,$B$2),$A$9:$B$12,2,0)+3,0)</f>
        <v>279</v>
      </c>
      <c r="E30">
        <f>VLOOKUP($B30,LEISTUNGEN_K,VLOOKUP(CONCATENATE($A$2,$B$2),$A$9:$B$12,2,0)+4,0)</f>
        <v>239</v>
      </c>
      <c r="F30">
        <f>VLOOKUP($B30,LEISTUNGEN_K,VLOOKUP(CONCATENATE($A$2,$B$2),$A$9:$B$12,2,0)+5,0)</f>
        <v>210</v>
      </c>
      <c r="G30">
        <f>VLOOKUP($B30,LEISTUNGEN_K,VLOOKUP(CONCATENATE($A$2,$B$2),$A$9:$B$12,2,0)+6,0)</f>
        <v>181</v>
      </c>
      <c r="H30">
        <f>VLOOKUP($B30,LEISTUNGEN_K,VLOOKUP(CONCATENATE($A$2,$B$2),$A$9:$B$12,2,0)+7,0)</f>
        <v>127</v>
      </c>
      <c r="I30">
        <f>VLOOKUP($B30,LEISTUNGEN_K,VLOOKUP(CONCATENATE($A$2,$B$2),$A$9:$B$12,2,0)+8,0)</f>
        <v>73</v>
      </c>
      <c r="J30">
        <f>SUM(C29/C30)</f>
        <v>0.76897689768976896</v>
      </c>
      <c r="K30">
        <f t="shared" si="6"/>
        <v>0.75627240143369179</v>
      </c>
      <c r="L30">
        <f t="shared" si="7"/>
        <v>0.76987447698744771</v>
      </c>
      <c r="M30">
        <f t="shared" si="8"/>
        <v>0.75238095238095237</v>
      </c>
      <c r="N30">
        <f t="shared" si="9"/>
        <v>0.70718232044198892</v>
      </c>
      <c r="O30">
        <f t="shared" si="10"/>
        <v>0.71653543307086609</v>
      </c>
      <c r="P30">
        <f t="shared" si="11"/>
        <v>0.69863013698630139</v>
      </c>
    </row>
    <row r="31" spans="1:16" x14ac:dyDescent="0.25">
      <c r="A31" s="83">
        <f t="shared" si="5"/>
        <v>28</v>
      </c>
      <c r="B31" t="s">
        <v>708</v>
      </c>
      <c r="C31">
        <f>VLOOKUP($B31,LEISTUNGEN_K,VLOOKUP(CONCATENATE($A$2,$B$2),$A$9:$B$12,2,0)+2,0)</f>
        <v>355</v>
      </c>
      <c r="D31">
        <f>VLOOKUP($B31,LEISTUNGEN_K,VLOOKUP(CONCATENATE($A$2,$B$2),$A$9:$B$12,2,0)+3,0)</f>
        <v>325</v>
      </c>
      <c r="E31">
        <f>VLOOKUP($B31,LEISTUNGEN_K,VLOOKUP(CONCATENATE($A$2,$B$2),$A$9:$B$12,2,0)+4,0)</f>
        <v>277</v>
      </c>
      <c r="F31">
        <f>VLOOKUP($B31,LEISTUNGEN_K,VLOOKUP(CONCATENATE($A$2,$B$2),$A$9:$B$12,2,0)+5,0)</f>
        <v>243</v>
      </c>
      <c r="G31">
        <f>VLOOKUP($B31,LEISTUNGEN_K,VLOOKUP(CONCATENATE($A$2,$B$2),$A$9:$B$12,2,0)+6,0)</f>
        <v>208</v>
      </c>
      <c r="H31">
        <f>VLOOKUP($B31,LEISTUNGEN_K,VLOOKUP(CONCATENATE($A$2,$B$2),$A$9:$B$12,2,0)+7,0)</f>
        <v>146</v>
      </c>
      <c r="I31">
        <f>VLOOKUP($B31,LEISTUNGEN_K,VLOOKUP(CONCATENATE($A$2,$B$2),$A$9:$B$12,2,0)+8,0)</f>
        <v>83</v>
      </c>
      <c r="J31">
        <f>SUM(C30/C31)</f>
        <v>0.85352112676056335</v>
      </c>
      <c r="K31">
        <f t="shared" si="6"/>
        <v>0.8584615384615385</v>
      </c>
      <c r="L31">
        <f t="shared" si="7"/>
        <v>0.86281588447653434</v>
      </c>
      <c r="M31">
        <f t="shared" si="8"/>
        <v>0.86419753086419748</v>
      </c>
      <c r="N31">
        <f t="shared" si="9"/>
        <v>0.87019230769230771</v>
      </c>
      <c r="O31">
        <f t="shared" si="10"/>
        <v>0.86986301369863017</v>
      </c>
      <c r="P31">
        <f t="shared" si="11"/>
        <v>0.87951807228915657</v>
      </c>
    </row>
    <row r="32" spans="1:16" x14ac:dyDescent="0.25">
      <c r="A32" s="83">
        <f>VALUE(RIGHT(B32,2))</f>
        <v>29</v>
      </c>
      <c r="B32" s="99" t="s">
        <v>816</v>
      </c>
      <c r="C32">
        <f>VLOOKUP($B32,LEISTUNGEN_K,VLOOKUP(CONCATENATE($A$2,$B$2),$A$9:$B$12,2,0)+2,0)</f>
        <v>404</v>
      </c>
      <c r="D32">
        <f>VLOOKUP($B32,LEISTUNGEN_K,VLOOKUP(CONCATENATE($A$2,$B$2),$A$9:$B$12,2,0)+3,0)</f>
        <v>370</v>
      </c>
      <c r="E32">
        <f>VLOOKUP($B32,LEISTUNGEN_K,VLOOKUP(CONCATENATE($A$2,$B$2),$A$9:$B$12,2,0)+4,0)</f>
        <v>313</v>
      </c>
      <c r="F32">
        <f>VLOOKUP($B32,LEISTUNGEN_K,VLOOKUP(CONCATENATE($A$2,$B$2),$A$9:$B$12,2,0)+5,0)</f>
        <v>273</v>
      </c>
      <c r="G32">
        <f>VLOOKUP($B32,LEISTUNGEN_K,VLOOKUP(CONCATENATE($A$2,$B$2),$A$9:$B$12,2,0)+6,0)</f>
        <v>232</v>
      </c>
      <c r="H32">
        <f>VLOOKUP($B32,LEISTUNGEN_K,VLOOKUP(CONCATENATE($A$2,$B$2),$A$9:$B$12,2,0)+7,0)</f>
        <v>162</v>
      </c>
      <c r="I32">
        <f>VLOOKUP($B32,LEISTUNGEN_K,VLOOKUP(CONCATENATE($A$2,$B$2),$A$9:$B$12,2,0)+8,0)</f>
        <v>92</v>
      </c>
      <c r="J32">
        <f>SUM(C31/C32)</f>
        <v>0.87871287128712872</v>
      </c>
      <c r="K32">
        <f t="shared" si="6"/>
        <v>0.8783783783783784</v>
      </c>
      <c r="L32">
        <f t="shared" si="7"/>
        <v>0.88498402555910538</v>
      </c>
      <c r="M32">
        <f t="shared" si="8"/>
        <v>0.89010989010989006</v>
      </c>
      <c r="N32">
        <f t="shared" si="9"/>
        <v>0.89655172413793105</v>
      </c>
      <c r="O32">
        <f t="shared" si="10"/>
        <v>0.90123456790123457</v>
      </c>
      <c r="P32">
        <f t="shared" si="11"/>
        <v>0.90217391304347827</v>
      </c>
    </row>
    <row r="34" spans="1:16" x14ac:dyDescent="0.25">
      <c r="A34" s="83" t="s">
        <v>1066</v>
      </c>
      <c r="B34">
        <v>0</v>
      </c>
      <c r="J34">
        <f>SUM(J29/J30)</f>
        <v>0.77579251782128977</v>
      </c>
      <c r="K34">
        <f t="shared" ref="K34:P34" si="12">SUM(K29/K30)</f>
        <v>0.7708047887513757</v>
      </c>
      <c r="L34">
        <f t="shared" si="12"/>
        <v>0.73416824196597352</v>
      </c>
      <c r="M34">
        <f t="shared" si="12"/>
        <v>0.74026598301554236</v>
      </c>
      <c r="N34">
        <f t="shared" si="12"/>
        <v>0.71807861328125</v>
      </c>
      <c r="O34">
        <f t="shared" si="12"/>
        <v>0.65946141770317601</v>
      </c>
      <c r="P34">
        <f t="shared" si="12"/>
        <v>0.61745482506728178</v>
      </c>
    </row>
    <row r="35" spans="1:16" x14ac:dyDescent="0.25">
      <c r="A35" s="83" t="s">
        <v>1067</v>
      </c>
      <c r="B35">
        <v>7</v>
      </c>
      <c r="J35">
        <f>SUM(J30/J31)</f>
        <v>0.90094653029659399</v>
      </c>
      <c r="K35">
        <f t="shared" ref="K35:P35" si="13">SUM(K30/K31)</f>
        <v>0.88096247478835066</v>
      </c>
      <c r="L35">
        <f t="shared" si="13"/>
        <v>0.89228129759633057</v>
      </c>
      <c r="M35">
        <f t="shared" si="13"/>
        <v>0.87061224489795919</v>
      </c>
      <c r="N35">
        <f t="shared" si="13"/>
        <v>0.81267360581178838</v>
      </c>
      <c r="O35">
        <f t="shared" si="13"/>
        <v>0.82373364746729483</v>
      </c>
      <c r="P35">
        <f t="shared" si="13"/>
        <v>0.79433289547757557</v>
      </c>
    </row>
    <row r="36" spans="1:16" x14ac:dyDescent="0.25">
      <c r="A36" s="83" t="s">
        <v>1068</v>
      </c>
      <c r="B36">
        <v>14</v>
      </c>
      <c r="J36">
        <f>SUM(J31/J32)</f>
        <v>0.97133108510216226</v>
      </c>
      <c r="K36">
        <f t="shared" ref="K36:P36" si="14">SUM(K31/K32)</f>
        <v>0.97732544378698227</v>
      </c>
      <c r="L36">
        <f t="shared" si="14"/>
        <v>0.9749508008705966</v>
      </c>
      <c r="M36">
        <f t="shared" si="14"/>
        <v>0.97088858405730838</v>
      </c>
      <c r="N36">
        <f t="shared" si="14"/>
        <v>0.97059911242603547</v>
      </c>
      <c r="O36">
        <f t="shared" si="14"/>
        <v>0.96519046725464441</v>
      </c>
      <c r="P36">
        <f t="shared" si="14"/>
        <v>0.9748875018144868</v>
      </c>
    </row>
  </sheetData>
  <pageMargins left="0.7" right="0.7" top="0.78740157499999996" bottom="0.78740157499999996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7"/>
  <sheetViews>
    <sheetView workbookViewId="0">
      <selection sqref="A1:AC939"/>
    </sheetView>
  </sheetViews>
  <sheetFormatPr baseColWidth="10" defaultRowHeight="15" x14ac:dyDescent="0.25"/>
  <sheetData>
    <row r="1" spans="1:8" x14ac:dyDescent="0.25">
      <c r="B1" t="s">
        <v>1</v>
      </c>
      <c r="C1" t="s">
        <v>2</v>
      </c>
      <c r="D1" t="s">
        <v>3</v>
      </c>
      <c r="E1" t="s">
        <v>944</v>
      </c>
      <c r="F1" t="s">
        <v>4</v>
      </c>
      <c r="G1" t="s">
        <v>945</v>
      </c>
      <c r="H1" t="s">
        <v>5</v>
      </c>
    </row>
    <row r="2" spans="1:8" x14ac:dyDescent="0.25">
      <c r="A2">
        <v>26</v>
      </c>
      <c r="B2">
        <v>484</v>
      </c>
      <c r="C2">
        <v>436</v>
      </c>
      <c r="D2">
        <v>364</v>
      </c>
      <c r="E2">
        <f t="shared" ref="E2:E3" si="0">ROUND((D2+F2)/2,0)</f>
        <v>314</v>
      </c>
      <c r="F2">
        <v>263</v>
      </c>
      <c r="G2">
        <f t="shared" ref="G2:G3" si="1">ROUND((F2+H2)/2,0)</f>
        <v>181</v>
      </c>
      <c r="H2">
        <v>98</v>
      </c>
    </row>
    <row r="3" spans="1:8" x14ac:dyDescent="0.25">
      <c r="A3">
        <v>25</v>
      </c>
      <c r="B3">
        <v>415</v>
      </c>
      <c r="C3">
        <v>376</v>
      </c>
      <c r="D3">
        <v>316</v>
      </c>
      <c r="E3">
        <f t="shared" si="0"/>
        <v>274</v>
      </c>
      <c r="F3">
        <v>231</v>
      </c>
      <c r="G3">
        <f t="shared" si="1"/>
        <v>159</v>
      </c>
      <c r="H3">
        <v>87</v>
      </c>
    </row>
    <row r="4" spans="1:8" x14ac:dyDescent="0.25">
      <c r="A4">
        <v>24</v>
      </c>
      <c r="B4" s="84">
        <v>340</v>
      </c>
      <c r="C4" s="84">
        <v>305</v>
      </c>
      <c r="D4" s="84">
        <v>260</v>
      </c>
      <c r="E4" s="84">
        <v>220</v>
      </c>
      <c r="F4" s="84">
        <v>181</v>
      </c>
      <c r="G4" s="84">
        <v>122</v>
      </c>
      <c r="H4" s="84">
        <v>65</v>
      </c>
    </row>
    <row r="5" spans="1:8" x14ac:dyDescent="0.25">
      <c r="A5">
        <v>23</v>
      </c>
      <c r="B5" s="84">
        <v>255</v>
      </c>
      <c r="C5" s="84">
        <v>225</v>
      </c>
      <c r="D5" s="84">
        <v>185</v>
      </c>
      <c r="E5" s="84">
        <v>150</v>
      </c>
      <c r="F5" s="84">
        <v>115</v>
      </c>
      <c r="G5" s="84">
        <v>70</v>
      </c>
      <c r="H5" s="84">
        <v>33</v>
      </c>
    </row>
    <row r="6" spans="1:8" x14ac:dyDescent="0.25">
      <c r="A6" s="84">
        <v>22</v>
      </c>
      <c r="B6" s="84">
        <v>168</v>
      </c>
      <c r="C6" s="84">
        <v>140</v>
      </c>
      <c r="D6" s="84">
        <v>110</v>
      </c>
      <c r="E6" s="84">
        <v>80</v>
      </c>
      <c r="F6" s="84">
        <v>50</v>
      </c>
      <c r="G6" s="84">
        <v>25</v>
      </c>
      <c r="H6" s="84">
        <v>7</v>
      </c>
    </row>
    <row r="7" spans="1:8" x14ac:dyDescent="0.25">
      <c r="A7" s="84"/>
      <c r="B7" s="84"/>
      <c r="C7" s="84"/>
      <c r="D7" s="84"/>
      <c r="E7" s="84"/>
      <c r="F7" s="84"/>
      <c r="G7" s="84"/>
      <c r="H7" s="84"/>
    </row>
    <row r="29" spans="1:15" x14ac:dyDescent="0.25">
      <c r="A29" s="84"/>
      <c r="B29" s="84"/>
      <c r="C29" s="84"/>
      <c r="D29" s="84"/>
      <c r="E29" s="84"/>
      <c r="F29" s="84"/>
      <c r="G29" s="84"/>
    </row>
    <row r="30" spans="1:15" x14ac:dyDescent="0.25">
      <c r="H30" s="84"/>
      <c r="I30" s="84"/>
      <c r="J30" s="84"/>
      <c r="K30" s="84"/>
      <c r="L30" s="84"/>
      <c r="M30" s="84"/>
      <c r="N30" s="84"/>
      <c r="O30" s="84"/>
    </row>
    <row r="32" spans="1:15" x14ac:dyDescent="0.25">
      <c r="A32" s="84"/>
    </row>
    <row r="37" spans="1:7" x14ac:dyDescent="0.25">
      <c r="A37" s="84"/>
      <c r="B37" s="84"/>
      <c r="C37" s="84"/>
      <c r="D37" s="84"/>
      <c r="E37" s="84"/>
      <c r="F37" s="84"/>
      <c r="G37" s="84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C981F-D844-4F03-B4B5-F80C9AC8B1D9}">
  <dimension ref="A1:W72"/>
  <sheetViews>
    <sheetView showGridLines="0" showRowColHeaders="0" tabSelected="1" topLeftCell="A26" workbookViewId="0">
      <selection activeCell="C30" sqref="C30:E30"/>
    </sheetView>
  </sheetViews>
  <sheetFormatPr baseColWidth="10" defaultColWidth="0" defaultRowHeight="14.25" zeroHeight="1" x14ac:dyDescent="0.2"/>
  <cols>
    <col min="1" max="1" width="2.28515625" style="302" customWidth="1"/>
    <col min="2" max="2" width="9.28515625" style="302" customWidth="1"/>
    <col min="3" max="3" width="6.28515625" style="302" customWidth="1"/>
    <col min="4" max="4" width="5.140625" style="302" customWidth="1"/>
    <col min="5" max="5" width="7" style="302" customWidth="1"/>
    <col min="6" max="6" width="2.85546875" style="302" customWidth="1"/>
    <col min="7" max="7" width="7" style="302" customWidth="1"/>
    <col min="8" max="8" width="2.85546875" style="302" customWidth="1"/>
    <col min="9" max="9" width="7" style="302" customWidth="1"/>
    <col min="10" max="10" width="2.85546875" style="302" customWidth="1"/>
    <col min="11" max="11" width="7" style="302" customWidth="1"/>
    <col min="12" max="12" width="2.85546875" style="302" customWidth="1"/>
    <col min="13" max="13" width="7" style="302" customWidth="1"/>
    <col min="14" max="14" width="2.85546875" style="302" customWidth="1"/>
    <col min="15" max="15" width="7" style="302" customWidth="1"/>
    <col min="16" max="16" width="2.85546875" style="302" customWidth="1"/>
    <col min="17" max="17" width="7" style="302" customWidth="1"/>
    <col min="18" max="18" width="2.85546875" style="302" customWidth="1"/>
    <col min="19" max="19" width="5" style="302" customWidth="1"/>
    <col min="20" max="20" width="2.28515625" style="302" customWidth="1"/>
    <col min="21" max="23" width="0" style="302" hidden="1" customWidth="1"/>
    <col min="24" max="16384" width="11.42578125" style="302" hidden="1"/>
  </cols>
  <sheetData>
    <row r="1" spans="2:18" hidden="1" x14ac:dyDescent="0.2">
      <c r="O1" s="302">
        <v>288</v>
      </c>
      <c r="P1" s="302">
        <v>256</v>
      </c>
    </row>
    <row r="2" spans="2:18" hidden="1" x14ac:dyDescent="0.2">
      <c r="C2" s="27" t="s">
        <v>938</v>
      </c>
      <c r="D2" s="302">
        <f>VLOOKUP(C29,E2:F4,2,0)</f>
        <v>2</v>
      </c>
      <c r="E2" s="27" t="s">
        <v>1079</v>
      </c>
      <c r="F2" s="302">
        <v>2</v>
      </c>
      <c r="N2" s="303">
        <v>0.2</v>
      </c>
      <c r="O2" s="302">
        <v>1</v>
      </c>
      <c r="P2" s="302">
        <v>1.02</v>
      </c>
    </row>
    <row r="3" spans="2:18" hidden="1" x14ac:dyDescent="0.2">
      <c r="E3" s="27" t="s">
        <v>1080</v>
      </c>
      <c r="F3" s="302">
        <v>3</v>
      </c>
      <c r="N3" s="303">
        <v>0.3</v>
      </c>
      <c r="O3" s="302">
        <v>1</v>
      </c>
      <c r="P3" s="302">
        <v>1.0249999999999999</v>
      </c>
    </row>
    <row r="4" spans="2:18" hidden="1" x14ac:dyDescent="0.2">
      <c r="E4" s="27" t="s">
        <v>1081</v>
      </c>
      <c r="F4" s="302">
        <v>4</v>
      </c>
      <c r="N4" s="303">
        <v>0.4</v>
      </c>
      <c r="O4" s="302">
        <v>1</v>
      </c>
      <c r="P4" s="302">
        <v>1.03</v>
      </c>
    </row>
    <row r="5" spans="2:18" hidden="1" x14ac:dyDescent="0.2">
      <c r="C5" s="302" t="s">
        <v>1091</v>
      </c>
      <c r="D5" s="302">
        <f>SUM((N29+N30)/2)-N31</f>
        <v>25</v>
      </c>
      <c r="E5" s="27">
        <f>SUM(N29-N30)</f>
        <v>10</v>
      </c>
      <c r="N5" s="303">
        <v>0.5</v>
      </c>
      <c r="O5" s="302">
        <v>1</v>
      </c>
      <c r="P5" s="302">
        <v>1.0349999999999999</v>
      </c>
    </row>
    <row r="6" spans="2:18" hidden="1" x14ac:dyDescent="0.2">
      <c r="C6" s="302" t="s">
        <v>1090</v>
      </c>
      <c r="D6" s="302" t="str">
        <f>CONCATENATE(Q29,"-",Q30,"-",Q31)</f>
        <v>16-19-27</v>
      </c>
      <c r="E6" s="27">
        <f>SUM(Q30-Q29)</f>
        <v>3</v>
      </c>
      <c r="N6" s="303">
        <v>0.6</v>
      </c>
      <c r="O6" s="302">
        <v>1</v>
      </c>
      <c r="P6" s="302">
        <v>1.0369999999999999</v>
      </c>
    </row>
    <row r="7" spans="2:18" hidden="1" x14ac:dyDescent="0.2">
      <c r="E7" s="27"/>
      <c r="N7" s="303">
        <v>0.8</v>
      </c>
      <c r="O7" s="302">
        <v>1</v>
      </c>
      <c r="P7" s="302">
        <v>1.042</v>
      </c>
    </row>
    <row r="8" spans="2:18" hidden="1" x14ac:dyDescent="0.2">
      <c r="E8" s="27"/>
      <c r="N8" s="303">
        <v>1</v>
      </c>
      <c r="O8" s="302">
        <v>1</v>
      </c>
      <c r="P8" s="302">
        <v>1.0449999999999999</v>
      </c>
    </row>
    <row r="9" spans="2:18" hidden="1" x14ac:dyDescent="0.2">
      <c r="E9" s="27"/>
      <c r="N9" s="303"/>
    </row>
    <row r="10" spans="2:18" hidden="1" x14ac:dyDescent="0.2">
      <c r="E10" s="27"/>
      <c r="J10" s="303">
        <v>0.2</v>
      </c>
      <c r="K10" s="303">
        <v>0.3</v>
      </c>
      <c r="L10" s="303">
        <v>0.4</v>
      </c>
      <c r="M10" s="303">
        <v>0.5</v>
      </c>
      <c r="N10" s="303">
        <v>0.6</v>
      </c>
      <c r="O10" s="303">
        <v>0.8</v>
      </c>
      <c r="P10" s="303">
        <v>1</v>
      </c>
    </row>
    <row r="11" spans="2:18" hidden="1" x14ac:dyDescent="0.2">
      <c r="E11" s="27"/>
      <c r="J11" s="302">
        <f t="shared" ref="J11:P11" si="0">IF($Q$33=288,VLOOKUP(J10,FAKT256_K,2,0),VLOOKUP(J10,FAKT256_K,3,0))</f>
        <v>1</v>
      </c>
      <c r="K11" s="302">
        <f t="shared" si="0"/>
        <v>1</v>
      </c>
      <c r="L11" s="302">
        <f t="shared" si="0"/>
        <v>1</v>
      </c>
      <c r="M11" s="302">
        <f t="shared" si="0"/>
        <v>1</v>
      </c>
      <c r="N11" s="302">
        <f t="shared" si="0"/>
        <v>1</v>
      </c>
      <c r="O11" s="302">
        <f t="shared" si="0"/>
        <v>1</v>
      </c>
      <c r="P11" s="302">
        <f t="shared" si="0"/>
        <v>1</v>
      </c>
    </row>
    <row r="13" spans="2:18" hidden="1" x14ac:dyDescent="0.2">
      <c r="F13" s="302" t="s">
        <v>1083</v>
      </c>
      <c r="P13" s="302" t="s">
        <v>1082</v>
      </c>
    </row>
    <row r="14" spans="2:18" hidden="1" x14ac:dyDescent="0.2">
      <c r="B14" s="302" t="s">
        <v>941</v>
      </c>
      <c r="C14" s="302" t="s">
        <v>1070</v>
      </c>
      <c r="D14" s="302" t="s">
        <v>1071</v>
      </c>
      <c r="E14" s="302" t="s">
        <v>1072</v>
      </c>
      <c r="F14" s="302" t="s">
        <v>1073</v>
      </c>
      <c r="G14" s="302" t="s">
        <v>1074</v>
      </c>
      <c r="H14" s="302" t="s">
        <v>1075</v>
      </c>
      <c r="I14" s="302" t="s">
        <v>1076</v>
      </c>
      <c r="J14" s="302" t="s">
        <v>1077</v>
      </c>
      <c r="K14" s="302" t="s">
        <v>1078</v>
      </c>
      <c r="L14" s="302" t="s">
        <v>1073</v>
      </c>
      <c r="M14" s="302" t="s">
        <v>1074</v>
      </c>
      <c r="N14" s="302" t="s">
        <v>1075</v>
      </c>
      <c r="O14" s="302" t="s">
        <v>1076</v>
      </c>
      <c r="P14" s="302" t="s">
        <v>1077</v>
      </c>
      <c r="Q14" s="302" t="s">
        <v>1078</v>
      </c>
      <c r="R14" s="302" t="s">
        <v>1111</v>
      </c>
    </row>
    <row r="15" spans="2:18" hidden="1" x14ac:dyDescent="0.2">
      <c r="B15" s="302" t="s">
        <v>942</v>
      </c>
      <c r="C15" s="302">
        <v>288</v>
      </c>
      <c r="D15" s="302">
        <v>125</v>
      </c>
      <c r="E15" s="302">
        <v>2</v>
      </c>
      <c r="F15" s="302">
        <v>930</v>
      </c>
      <c r="G15" s="302">
        <v>1230</v>
      </c>
      <c r="H15" s="302">
        <v>1710</v>
      </c>
      <c r="I15" s="302">
        <v>2010</v>
      </c>
      <c r="J15" s="302">
        <v>2490</v>
      </c>
      <c r="K15" s="302">
        <v>2790</v>
      </c>
      <c r="L15" s="302">
        <v>580</v>
      </c>
      <c r="M15" s="302">
        <v>880</v>
      </c>
      <c r="N15" s="302">
        <v>1360</v>
      </c>
      <c r="O15" s="302">
        <v>1660</v>
      </c>
      <c r="P15" s="302">
        <v>2140</v>
      </c>
      <c r="Q15" s="302">
        <v>2440</v>
      </c>
      <c r="R15" s="302">
        <v>34</v>
      </c>
    </row>
    <row r="16" spans="2:18" hidden="1" x14ac:dyDescent="0.2">
      <c r="B16" s="302" t="s">
        <v>997</v>
      </c>
      <c r="C16" s="302">
        <v>288</v>
      </c>
      <c r="D16" s="302">
        <v>125</v>
      </c>
      <c r="E16" s="302">
        <v>2</v>
      </c>
      <c r="F16" s="302">
        <v>930</v>
      </c>
      <c r="G16" s="302">
        <v>1230</v>
      </c>
      <c r="H16" s="302">
        <v>1710</v>
      </c>
      <c r="I16" s="302">
        <v>2010</v>
      </c>
      <c r="J16" s="302">
        <v>2490</v>
      </c>
      <c r="K16" s="302">
        <v>2790</v>
      </c>
      <c r="L16" s="302">
        <v>580</v>
      </c>
      <c r="M16" s="302">
        <v>880</v>
      </c>
      <c r="N16" s="302">
        <v>1360</v>
      </c>
      <c r="O16" s="302">
        <v>1660</v>
      </c>
      <c r="P16" s="302">
        <v>2140</v>
      </c>
      <c r="Q16" s="302">
        <v>2440</v>
      </c>
      <c r="R16" s="302">
        <v>36</v>
      </c>
    </row>
    <row r="17" spans="2:19" hidden="1" x14ac:dyDescent="0.2">
      <c r="B17" s="302" t="s">
        <v>958</v>
      </c>
      <c r="C17" s="302">
        <v>288</v>
      </c>
      <c r="D17" s="302">
        <v>125</v>
      </c>
      <c r="E17" s="302">
        <v>4</v>
      </c>
      <c r="F17" s="302">
        <v>1130</v>
      </c>
      <c r="G17" s="302">
        <v>1430</v>
      </c>
      <c r="H17" s="302">
        <v>1910</v>
      </c>
      <c r="I17" s="302">
        <v>2210</v>
      </c>
      <c r="J17" s="302">
        <v>2690</v>
      </c>
      <c r="K17" s="302">
        <v>2990</v>
      </c>
      <c r="L17" s="302">
        <v>630</v>
      </c>
      <c r="M17" s="302">
        <v>930</v>
      </c>
      <c r="N17" s="302">
        <v>1410</v>
      </c>
      <c r="O17" s="302">
        <v>1710</v>
      </c>
      <c r="P17" s="302">
        <v>2190</v>
      </c>
      <c r="Q17" s="302">
        <v>2490</v>
      </c>
      <c r="R17" s="302">
        <v>35</v>
      </c>
    </row>
    <row r="18" spans="2:19" hidden="1" x14ac:dyDescent="0.2">
      <c r="B18" s="302" t="s">
        <v>998</v>
      </c>
      <c r="C18" s="302">
        <v>288</v>
      </c>
      <c r="D18" s="302">
        <v>125</v>
      </c>
      <c r="E18" s="302">
        <v>4</v>
      </c>
      <c r="F18" s="302">
        <v>1130</v>
      </c>
      <c r="G18" s="302">
        <v>1430</v>
      </c>
      <c r="H18" s="302">
        <v>1910</v>
      </c>
      <c r="I18" s="302">
        <v>2210</v>
      </c>
      <c r="J18" s="302">
        <v>2690</v>
      </c>
      <c r="K18" s="302">
        <v>2990</v>
      </c>
      <c r="L18" s="302">
        <v>630</v>
      </c>
      <c r="M18" s="302">
        <v>930</v>
      </c>
      <c r="N18" s="302">
        <v>1410</v>
      </c>
      <c r="O18" s="302">
        <v>1710</v>
      </c>
      <c r="P18" s="302">
        <v>2190</v>
      </c>
      <c r="Q18" s="302">
        <v>2490</v>
      </c>
      <c r="R18" s="302">
        <v>37</v>
      </c>
    </row>
    <row r="19" spans="2:19" hidden="1" x14ac:dyDescent="0.2">
      <c r="B19" s="302" t="s">
        <v>1025</v>
      </c>
      <c r="C19" s="302">
        <v>256</v>
      </c>
      <c r="D19" s="302">
        <v>160</v>
      </c>
      <c r="E19" s="302">
        <v>2</v>
      </c>
      <c r="F19" s="302">
        <v>930</v>
      </c>
      <c r="G19" s="302">
        <v>1230</v>
      </c>
      <c r="H19" s="302">
        <v>1710</v>
      </c>
      <c r="I19" s="302">
        <v>2010</v>
      </c>
      <c r="J19" s="302">
        <v>2490</v>
      </c>
      <c r="K19" s="302">
        <v>2790</v>
      </c>
      <c r="L19" s="302">
        <v>580</v>
      </c>
      <c r="M19" s="302">
        <v>880</v>
      </c>
      <c r="N19" s="302">
        <v>1360</v>
      </c>
      <c r="O19" s="302">
        <v>1660</v>
      </c>
      <c r="P19" s="302">
        <v>2140</v>
      </c>
      <c r="Q19" s="302">
        <v>2440</v>
      </c>
      <c r="R19" s="302">
        <v>34</v>
      </c>
    </row>
    <row r="20" spans="2:19" hidden="1" x14ac:dyDescent="0.2">
      <c r="B20" s="302" t="s">
        <v>1026</v>
      </c>
      <c r="C20" s="302">
        <v>256</v>
      </c>
      <c r="D20" s="302">
        <v>160</v>
      </c>
      <c r="E20" s="302">
        <v>2</v>
      </c>
      <c r="F20" s="302">
        <v>930</v>
      </c>
      <c r="G20" s="302">
        <v>1230</v>
      </c>
      <c r="H20" s="302">
        <v>1710</v>
      </c>
      <c r="I20" s="302">
        <v>2010</v>
      </c>
      <c r="J20" s="302">
        <v>2490</v>
      </c>
      <c r="K20" s="302">
        <v>2790</v>
      </c>
      <c r="L20" s="302">
        <v>580</v>
      </c>
      <c r="M20" s="302">
        <v>880</v>
      </c>
      <c r="N20" s="302">
        <v>1360</v>
      </c>
      <c r="O20" s="302">
        <v>1660</v>
      </c>
      <c r="P20" s="302">
        <v>2140</v>
      </c>
      <c r="Q20" s="302">
        <v>2440</v>
      </c>
      <c r="R20" s="302">
        <v>36</v>
      </c>
    </row>
    <row r="21" spans="2:19" hidden="1" x14ac:dyDescent="0.2">
      <c r="B21" s="302" t="s">
        <v>1027</v>
      </c>
      <c r="C21" s="302">
        <v>256</v>
      </c>
      <c r="D21" s="302">
        <v>160</v>
      </c>
      <c r="E21" s="302">
        <v>4</v>
      </c>
      <c r="F21" s="302">
        <v>1130</v>
      </c>
      <c r="G21" s="302">
        <v>1430</v>
      </c>
      <c r="H21" s="302">
        <v>1910</v>
      </c>
      <c r="I21" s="302">
        <v>2210</v>
      </c>
      <c r="J21" s="302">
        <v>2690</v>
      </c>
      <c r="K21" s="302">
        <v>2990</v>
      </c>
      <c r="L21" s="302">
        <v>630</v>
      </c>
      <c r="M21" s="302">
        <v>930</v>
      </c>
      <c r="N21" s="302">
        <v>1410</v>
      </c>
      <c r="O21" s="302">
        <v>1710</v>
      </c>
      <c r="P21" s="302">
        <v>2190</v>
      </c>
      <c r="Q21" s="302">
        <v>2490</v>
      </c>
      <c r="R21" s="302">
        <v>35</v>
      </c>
    </row>
    <row r="22" spans="2:19" hidden="1" x14ac:dyDescent="0.2">
      <c r="B22" s="302" t="s">
        <v>1030</v>
      </c>
      <c r="C22" s="302">
        <v>256</v>
      </c>
      <c r="D22" s="302">
        <v>160</v>
      </c>
      <c r="E22" s="302">
        <v>4</v>
      </c>
      <c r="F22" s="302">
        <v>1130</v>
      </c>
      <c r="G22" s="302">
        <v>1430</v>
      </c>
      <c r="H22" s="302">
        <v>1910</v>
      </c>
      <c r="I22" s="302">
        <v>2210</v>
      </c>
      <c r="J22" s="302">
        <v>2690</v>
      </c>
      <c r="K22" s="302">
        <v>2990</v>
      </c>
      <c r="L22" s="302">
        <v>630</v>
      </c>
      <c r="M22" s="302">
        <v>930</v>
      </c>
      <c r="N22" s="302">
        <v>1410</v>
      </c>
      <c r="O22" s="302">
        <v>1710</v>
      </c>
      <c r="P22" s="302">
        <v>2190</v>
      </c>
      <c r="Q22" s="302">
        <v>2490</v>
      </c>
      <c r="R22" s="302">
        <v>37</v>
      </c>
    </row>
    <row r="24" spans="2:19" hidden="1" x14ac:dyDescent="0.2">
      <c r="B24" s="302" t="s">
        <v>1128</v>
      </c>
      <c r="C24" s="302">
        <f>IFERROR(E39,"Stop")</f>
        <v>58</v>
      </c>
    </row>
    <row r="26" spans="2:19" ht="12" customHeight="1" x14ac:dyDescent="0.2"/>
    <row r="27" spans="2:19" ht="4.9000000000000004" customHeight="1" x14ac:dyDescent="0.2"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</row>
    <row r="28" spans="2:19" x14ac:dyDescent="0.2"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86" t="str">
        <f>VLOOKUP(18,TXT_K,$D$2,0)</f>
        <v>Heizen</v>
      </c>
      <c r="O28" s="386"/>
      <c r="P28" s="304"/>
      <c r="Q28" s="373" t="str">
        <f>VLOOKUP(19,TXT_K,$D$2,0)</f>
        <v>Kühlen</v>
      </c>
      <c r="R28" s="373"/>
      <c r="S28" s="304"/>
    </row>
    <row r="29" spans="2:19" ht="15" x14ac:dyDescent="0.25">
      <c r="B29" s="304" t="str">
        <f>VLOOKUP(43,TXT_K,$D$2,0)</f>
        <v>Sprache</v>
      </c>
      <c r="C29" s="375" t="s">
        <v>1079</v>
      </c>
      <c r="D29" s="376"/>
      <c r="E29" s="377"/>
      <c r="F29" s="304"/>
      <c r="G29" s="304"/>
      <c r="H29" s="307"/>
      <c r="I29" s="304" t="str">
        <f>VLOOKUP(44,TXT_K,$D$2,0)</f>
        <v>Vorlauftemperatur [°C]</v>
      </c>
      <c r="J29" s="304"/>
      <c r="K29" s="304"/>
      <c r="L29" s="304"/>
      <c r="M29" s="304"/>
      <c r="N29" s="387">
        <v>50</v>
      </c>
      <c r="O29" s="387"/>
      <c r="P29" s="304"/>
      <c r="Q29" s="371">
        <v>16</v>
      </c>
      <c r="R29" s="372"/>
      <c r="S29" s="367"/>
    </row>
    <row r="30" spans="2:19" ht="15" x14ac:dyDescent="0.25">
      <c r="B30" s="304" t="str">
        <f>VLOOKUP(2,TXT_K,$D$2,0)</f>
        <v>Modell</v>
      </c>
      <c r="C30" s="375" t="s">
        <v>942</v>
      </c>
      <c r="D30" s="376"/>
      <c r="E30" s="377"/>
      <c r="F30" s="304"/>
      <c r="G30" s="304"/>
      <c r="H30" s="307"/>
      <c r="I30" s="304" t="str">
        <f>VLOOKUP(45,TXT_K,$D$2,0)</f>
        <v>Rücklauftemperatur [°C]</v>
      </c>
      <c r="J30" s="304"/>
      <c r="K30" s="304"/>
      <c r="L30" s="304"/>
      <c r="M30" s="304"/>
      <c r="N30" s="387">
        <v>40</v>
      </c>
      <c r="O30" s="387"/>
      <c r="P30" s="304"/>
      <c r="Q30" s="371">
        <v>19</v>
      </c>
      <c r="R30" s="372"/>
      <c r="S30" s="367"/>
    </row>
    <row r="31" spans="2:19" ht="15" x14ac:dyDescent="0.25">
      <c r="B31" s="304"/>
      <c r="C31" s="304"/>
      <c r="D31" s="304"/>
      <c r="E31" s="304"/>
      <c r="F31" s="304"/>
      <c r="G31" s="304"/>
      <c r="H31" s="307"/>
      <c r="I31" s="304" t="str">
        <f>VLOOKUP(46,TXT_K,$D$2,0)</f>
        <v>Raumtemperatur [°C]</v>
      </c>
      <c r="J31" s="304"/>
      <c r="K31" s="304"/>
      <c r="L31" s="304"/>
      <c r="M31" s="304"/>
      <c r="N31" s="387">
        <v>20</v>
      </c>
      <c r="O31" s="387"/>
      <c r="P31" s="304"/>
      <c r="Q31" s="371">
        <v>27</v>
      </c>
      <c r="R31" s="372"/>
      <c r="S31" s="367"/>
    </row>
    <row r="32" spans="2:19" ht="15" x14ac:dyDescent="0.25">
      <c r="B32" s="305" t="str">
        <f>IF(OR((N29-N30)&lt;3,(N30-N31)&lt;3,(N29-N30)&gt;25,N31&lt;15,ISERROR(E56)),VLOOKUP(94,TXT_K,$D$2,0),"")</f>
        <v/>
      </c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6"/>
      <c r="O32" s="306"/>
      <c r="P32" s="304"/>
      <c r="Q32" s="306"/>
      <c r="R32" s="306"/>
      <c r="S32" s="306"/>
    </row>
    <row r="33" spans="2:19" ht="15" x14ac:dyDescent="0.25">
      <c r="B33" s="307"/>
      <c r="C33" s="307"/>
      <c r="D33" s="307"/>
      <c r="E33" s="307"/>
      <c r="F33" s="307"/>
      <c r="G33" s="307"/>
      <c r="H33" s="307"/>
      <c r="I33" s="307"/>
      <c r="J33" s="307"/>
      <c r="K33" s="307"/>
      <c r="L33" s="392" t="str">
        <f>VLOOKUP(31,TXT_K,$D$2,0)</f>
        <v>Breite Bodenkonvektor</v>
      </c>
      <c r="M33" s="392"/>
      <c r="N33" s="392"/>
      <c r="O33" s="392"/>
      <c r="P33" s="392"/>
      <c r="Q33" s="390">
        <f>VLOOKUP(C30,ABMESSUNG_K,2,0)</f>
        <v>288</v>
      </c>
      <c r="R33" s="390"/>
      <c r="S33" s="390"/>
    </row>
    <row r="34" spans="2:19" ht="15" x14ac:dyDescent="0.2">
      <c r="B34" s="308" t="s">
        <v>1575</v>
      </c>
      <c r="C34" s="307"/>
      <c r="D34" s="307"/>
      <c r="E34" s="307"/>
      <c r="F34" s="307"/>
      <c r="G34" s="307"/>
      <c r="H34" s="307"/>
      <c r="I34" s="307"/>
      <c r="J34" s="307"/>
      <c r="K34" s="307"/>
      <c r="L34" s="392" t="str">
        <f>VLOOKUP(32,TXT_K,$D$2,0)</f>
        <v>Höhe Bodenkonvektor</v>
      </c>
      <c r="M34" s="392"/>
      <c r="N34" s="392"/>
      <c r="O34" s="392"/>
      <c r="P34" s="392"/>
      <c r="Q34" s="391">
        <f>VLOOKUP(C30,ABMESSUNG_K,3,0)</f>
        <v>125</v>
      </c>
      <c r="R34" s="391"/>
      <c r="S34" s="391"/>
    </row>
    <row r="35" spans="2:19" ht="29.45" customHeight="1" x14ac:dyDescent="0.2">
      <c r="S35" s="309" t="str">
        <f>IF(C24="Stop",VLOOKUP(97,TXT_K,$D$2,0),"")</f>
        <v/>
      </c>
    </row>
    <row r="36" spans="2:19" ht="15" x14ac:dyDescent="0.2">
      <c r="B36" s="388" t="str">
        <f>VLOOKUP(20,TXT_K,$D$2,0)</f>
        <v>Kühlleistung [W]</v>
      </c>
      <c r="C36" s="388"/>
      <c r="D36" s="388"/>
      <c r="E36" s="388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</row>
    <row r="37" spans="2:19" ht="18" x14ac:dyDescent="0.2">
      <c r="B37" s="379" t="str">
        <f>CONCATENATE(C30)</f>
        <v>COLD 288-125-T2</v>
      </c>
      <c r="C37" s="379"/>
      <c r="D37" s="379"/>
      <c r="E37" s="379"/>
      <c r="F37" s="378" t="str">
        <f>VLOOKUP(7,TXT_K,$D$2,0)</f>
        <v>Leistungsprozent</v>
      </c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  <c r="R37" s="378"/>
      <c r="S37" s="378"/>
    </row>
    <row r="38" spans="2:19" ht="25.15" customHeight="1" x14ac:dyDescent="0.2">
      <c r="B38" s="310" t="str">
        <f>VLOOKUP(3,TXT_K,$D$2,0)</f>
        <v>Wanne  Bk [mm]</v>
      </c>
      <c r="C38" s="374" t="str">
        <f>VLOOKUP(98,TXT_K,$D$2,0)</f>
        <v>Konvektor  L [mm]</v>
      </c>
      <c r="D38" s="374"/>
      <c r="E38" s="312">
        <v>0.2</v>
      </c>
      <c r="F38" s="311" t="s">
        <v>1124</v>
      </c>
      <c r="G38" s="312">
        <v>0.3</v>
      </c>
      <c r="H38" s="311" t="s">
        <v>1124</v>
      </c>
      <c r="I38" s="312">
        <v>0.4</v>
      </c>
      <c r="J38" s="311" t="s">
        <v>1124</v>
      </c>
      <c r="K38" s="312">
        <v>0.5</v>
      </c>
      <c r="L38" s="311" t="s">
        <v>1124</v>
      </c>
      <c r="M38" s="312">
        <v>0.6</v>
      </c>
      <c r="N38" s="311" t="s">
        <v>1124</v>
      </c>
      <c r="O38" s="312">
        <v>0.8</v>
      </c>
      <c r="P38" s="311" t="s">
        <v>1124</v>
      </c>
      <c r="Q38" s="312">
        <v>1</v>
      </c>
      <c r="R38" s="311" t="s">
        <v>1124</v>
      </c>
      <c r="S38" s="313" t="s">
        <v>970</v>
      </c>
    </row>
    <row r="39" spans="2:19" x14ac:dyDescent="0.2">
      <c r="B39" s="380">
        <f>VLOOKUP($C$30,ABMESSUNG_K,5,0)</f>
        <v>930</v>
      </c>
      <c r="C39" s="382">
        <f>VLOOKUP($C$30,ABMESSUNG_K,11,0)</f>
        <v>580</v>
      </c>
      <c r="D39" s="314" t="s">
        <v>1005</v>
      </c>
      <c r="E39" s="315">
        <f>ROUND(E41*0.49,0)</f>
        <v>58</v>
      </c>
      <c r="F39" s="368">
        <f>ROUND(E39/($E$6*1.161),0)</f>
        <v>17</v>
      </c>
      <c r="G39" s="315">
        <f>ROUND(G41*0.49,0)</f>
        <v>109</v>
      </c>
      <c r="H39" s="368">
        <f>ROUND(G39/($E$6*1.161),0)</f>
        <v>31</v>
      </c>
      <c r="I39" s="315">
        <f>ROUND(I41*0.5,0)</f>
        <v>162</v>
      </c>
      <c r="J39" s="368">
        <f>ROUND(I39/($E$6*1.161),0)</f>
        <v>47</v>
      </c>
      <c r="K39" s="315">
        <f>ROUND(K41*0.5,0)</f>
        <v>195</v>
      </c>
      <c r="L39" s="368">
        <f>ROUND(K39/($E$6*1.161),0)</f>
        <v>56</v>
      </c>
      <c r="M39" s="315">
        <f>ROUND(M41*0.51,0)</f>
        <v>232</v>
      </c>
      <c r="N39" s="368">
        <f>ROUND(M39/($E$6*1.161),0)</f>
        <v>67</v>
      </c>
      <c r="O39" s="315">
        <f>ROUND(O41*0.515,0)</f>
        <v>284</v>
      </c>
      <c r="P39" s="368">
        <f>ROUND(O39/($E$6*1.161),0)</f>
        <v>82</v>
      </c>
      <c r="Q39" s="315">
        <f>ROUND(Q41*0.52,0)</f>
        <v>321</v>
      </c>
      <c r="R39" s="368">
        <f>ROUND(Q39/($E$6*1.161),0)</f>
        <v>92</v>
      </c>
      <c r="S39" s="393" t="s">
        <v>1084</v>
      </c>
    </row>
    <row r="40" spans="2:19" x14ac:dyDescent="0.2">
      <c r="B40" s="381"/>
      <c r="C40" s="383"/>
      <c r="D40" s="316" t="s">
        <v>1006</v>
      </c>
      <c r="E40" s="317">
        <f>ROUND(E42*0.49,0)</f>
        <v>58</v>
      </c>
      <c r="F40" s="369"/>
      <c r="G40" s="317">
        <f>ROUND(G42*0.49,0)</f>
        <v>109</v>
      </c>
      <c r="H40" s="369"/>
      <c r="I40" s="317">
        <f>ROUND(I42*0.5,0)</f>
        <v>162</v>
      </c>
      <c r="J40" s="369"/>
      <c r="K40" s="317">
        <f>ROUND(K42*0.5,0)</f>
        <v>195</v>
      </c>
      <c r="L40" s="369"/>
      <c r="M40" s="317">
        <f>ROUND(M42*0.51,0)</f>
        <v>232</v>
      </c>
      <c r="N40" s="369"/>
      <c r="O40" s="317">
        <f>ROUND(O42*0.515,0)</f>
        <v>284</v>
      </c>
      <c r="P40" s="369"/>
      <c r="Q40" s="317">
        <f>ROUND(Q42*0.52,0)</f>
        <v>321</v>
      </c>
      <c r="R40" s="369"/>
      <c r="S40" s="394"/>
    </row>
    <row r="41" spans="2:19" x14ac:dyDescent="0.2">
      <c r="B41" s="385">
        <f>VLOOKUP($C$30,ABMESSUNG_K,6,0)</f>
        <v>1230</v>
      </c>
      <c r="C41" s="384">
        <f>VLOOKUP($C$30,ABMESSUNG_K,12,0)</f>
        <v>880</v>
      </c>
      <c r="D41" s="318" t="s">
        <v>1005</v>
      </c>
      <c r="E41" s="319">
        <f>IF(RIGHT($C$30,1)="2",ROUND(J11*VLOOKUP($D$6,LEISTUNGEN_K,8,0),0),ROUND(J11*VLOOKUP($D$6,LEISTUNGEN_K,22,0),0))</f>
        <v>119</v>
      </c>
      <c r="F41" s="368">
        <f>ROUND(E41/($E$6*1.161),0)</f>
        <v>34</v>
      </c>
      <c r="G41" s="319">
        <f>IF(RIGHT($C$30,1)="2",ROUND(K11*VLOOKUP($D$6,LEISTUNGEN_K,7,0),0),ROUND(K11*VLOOKUP($D$6,LEISTUNGEN_K,21,0),0))</f>
        <v>222</v>
      </c>
      <c r="H41" s="368">
        <f>ROUND(G41/($E$6*1.161),0)</f>
        <v>64</v>
      </c>
      <c r="I41" s="319">
        <f>IF(RIGHT($C$30,1)="2",ROUND(L11*VLOOKUP($D$6,LEISTUNGEN_K,6,0),0),ROUND(L11*VLOOKUP($D$6,LEISTUNGEN_K,20,0),0))</f>
        <v>324</v>
      </c>
      <c r="J41" s="368">
        <f>ROUND(I41/($E$6*1.161),0)</f>
        <v>93</v>
      </c>
      <c r="K41" s="319">
        <f>IF(RIGHT($C$30,1)="2",ROUND(M11*VLOOKUP($D$6,LEISTUNGEN_K,5,0),0),ROUND(M11*VLOOKUP($D$6,LEISTUNGEN_K,19,0),0))</f>
        <v>389</v>
      </c>
      <c r="L41" s="368">
        <f>ROUND(K41/($E$6*1.161),0)</f>
        <v>112</v>
      </c>
      <c r="M41" s="319">
        <f>IF(RIGHT($C$30,1)="2",ROUND(N11*VLOOKUP($D$6,LEISTUNGEN_K,4,0),0),ROUND(N11*VLOOKUP($D$6,LEISTUNGEN_K,18,0),0))</f>
        <v>454</v>
      </c>
      <c r="N41" s="368">
        <f>ROUND(M41/($E$6*1.161),0)</f>
        <v>130</v>
      </c>
      <c r="O41" s="319">
        <f>IF(RIGHT($C$30,1)="2",ROUND(O11*VLOOKUP($D$6,LEISTUNGEN_K,3,0),0),ROUND(O11*VLOOKUP($D$6,LEISTUNGEN_K,17,0),0))</f>
        <v>551</v>
      </c>
      <c r="P41" s="368">
        <f>ROUND(O41/($E$6*1.161),0)</f>
        <v>158</v>
      </c>
      <c r="Q41" s="319">
        <f>IF(RIGHT($C$30,1)="2",ROUND(P11*VLOOKUP($D$6,LEISTUNGEN_K,2,0),0),ROUND(P11*VLOOKUP($D$6,LEISTUNGEN_K,16,0),0))</f>
        <v>617</v>
      </c>
      <c r="R41" s="368">
        <f>ROUND(Q41/($E$6*1.161),0)</f>
        <v>177</v>
      </c>
      <c r="S41" s="393" t="s">
        <v>1085</v>
      </c>
    </row>
    <row r="42" spans="2:19" x14ac:dyDescent="0.2">
      <c r="B42" s="385"/>
      <c r="C42" s="384"/>
      <c r="D42" s="318" t="s">
        <v>1006</v>
      </c>
      <c r="E42" s="320">
        <f>IF(RIGHT($C$30,1)="2",ROUND(J11*VLOOKUP($D$6,LEISTUNGEN_K,15,0),0),ROUND(J11*VLOOKUP($D$6,LEISTUNGEN_K,29,0),0))</f>
        <v>119</v>
      </c>
      <c r="F42" s="370"/>
      <c r="G42" s="320">
        <f>IF(RIGHT($C$30,1)="2",ROUND(K11*VLOOKUP($D$6,LEISTUNGEN_K,14,0),0),ROUND(K11*VLOOKUP($D$6,LEISTUNGEN_K,28,0),0))</f>
        <v>222</v>
      </c>
      <c r="H42" s="370"/>
      <c r="I42" s="320">
        <f>IF(RIGHT($C$30,1)="2",ROUND(L11*VLOOKUP($D$6,LEISTUNGEN_K,13,0),0),ROUND(L11*VLOOKUP($D$6,LEISTUNGEN_K,27,0),0))</f>
        <v>324</v>
      </c>
      <c r="J42" s="370"/>
      <c r="K42" s="320">
        <f>IF(RIGHT($C$30,1)="2",ROUND(M11*VLOOKUP($D$6,LEISTUNGEN_K,12,0),0),ROUND(M11*VLOOKUP($D$6,LEISTUNGEN_K,26,0),0))</f>
        <v>389</v>
      </c>
      <c r="L42" s="370"/>
      <c r="M42" s="320">
        <f>IF(RIGHT($C$30,1)="2",ROUND(N11*VLOOKUP($D$6,LEISTUNGEN_K,11,0),0),ROUND(N11*VLOOKUP($D$6,LEISTUNGEN_K,25,0),0))</f>
        <v>454</v>
      </c>
      <c r="N42" s="370"/>
      <c r="O42" s="320">
        <f>IF(RIGHT($C$30,1)="2",ROUND(O11*VLOOKUP($D$6,LEISTUNGEN_K,10,0),0),ROUND(O11*VLOOKUP($D$6,LEISTUNGEN_K,24,0),0))</f>
        <v>551</v>
      </c>
      <c r="P42" s="370"/>
      <c r="Q42" s="320">
        <f>IF(RIGHT($C$30,1)="2",ROUND(P11*VLOOKUP($D$6,LEISTUNGEN_K,9,0),0),ROUND(P11*VLOOKUP($D$6,LEISTUNGEN_K,23,0),0))</f>
        <v>617</v>
      </c>
      <c r="R42" s="370"/>
      <c r="S42" s="394"/>
    </row>
    <row r="43" spans="2:19" x14ac:dyDescent="0.2">
      <c r="B43" s="380">
        <f>VLOOKUP($C$30,ABMESSUNG_K,7,0)</f>
        <v>1710</v>
      </c>
      <c r="C43" s="382">
        <f>VLOOKUP($C$30,ABMESSUNG_K,13,0)</f>
        <v>1360</v>
      </c>
      <c r="D43" s="314" t="s">
        <v>1005</v>
      </c>
      <c r="E43" s="315">
        <f>ROUND(E41*1.52,0)</f>
        <v>181</v>
      </c>
      <c r="F43" s="368">
        <f>ROUND(E43/($E$6*1.161),0)</f>
        <v>52</v>
      </c>
      <c r="G43" s="315">
        <f>ROUND(G41*1.52,0)</f>
        <v>337</v>
      </c>
      <c r="H43" s="368">
        <f>ROUND(G43/($E$6*1.161),0)</f>
        <v>97</v>
      </c>
      <c r="I43" s="315">
        <f>ROUND(I41*1.55,0)</f>
        <v>502</v>
      </c>
      <c r="J43" s="368">
        <f>ROUND(I43/($E$6*1.161),0)</f>
        <v>144</v>
      </c>
      <c r="K43" s="315">
        <f>ROUND(K41*1.52,0)</f>
        <v>591</v>
      </c>
      <c r="L43" s="368">
        <f>ROUND(K43/($E$6*1.161),0)</f>
        <v>170</v>
      </c>
      <c r="M43" s="315">
        <f>ROUND(M41*1.56,0)</f>
        <v>708</v>
      </c>
      <c r="N43" s="368">
        <f>ROUND(M43/($E$6*1.161),0)</f>
        <v>203</v>
      </c>
      <c r="O43" s="315">
        <f>ROUND(O41*1.58,0)</f>
        <v>871</v>
      </c>
      <c r="P43" s="368">
        <f>ROUND(O43/($E$6*1.161),0)</f>
        <v>250</v>
      </c>
      <c r="Q43" s="315">
        <f>ROUND(Q41*1.59,0)</f>
        <v>981</v>
      </c>
      <c r="R43" s="368">
        <f>ROUND(Q43/($E$6*1.161),0)</f>
        <v>282</v>
      </c>
      <c r="S43" s="393" t="s">
        <v>1086</v>
      </c>
    </row>
    <row r="44" spans="2:19" x14ac:dyDescent="0.2">
      <c r="B44" s="381"/>
      <c r="C44" s="383"/>
      <c r="D44" s="316" t="s">
        <v>1006</v>
      </c>
      <c r="E44" s="317">
        <f>ROUND(E42*1.52,0)</f>
        <v>181</v>
      </c>
      <c r="F44" s="369"/>
      <c r="G44" s="317">
        <f>ROUND(G42*1.52,0)</f>
        <v>337</v>
      </c>
      <c r="H44" s="369"/>
      <c r="I44" s="317">
        <f>ROUND(I42*1.55,0)</f>
        <v>502</v>
      </c>
      <c r="J44" s="369"/>
      <c r="K44" s="317">
        <f>ROUND(K42*1.52,0)</f>
        <v>591</v>
      </c>
      <c r="L44" s="369"/>
      <c r="M44" s="317">
        <f>ROUND(M42*1.56,0)</f>
        <v>708</v>
      </c>
      <c r="N44" s="369"/>
      <c r="O44" s="317">
        <f>ROUND(O42*1.58,0)</f>
        <v>871</v>
      </c>
      <c r="P44" s="369"/>
      <c r="Q44" s="317">
        <f>ROUND(Q42*1.59,0)</f>
        <v>981</v>
      </c>
      <c r="R44" s="369"/>
      <c r="S44" s="394"/>
    </row>
    <row r="45" spans="2:19" x14ac:dyDescent="0.2">
      <c r="B45" s="385">
        <f>VLOOKUP($C$30,ABMESSUNG_K,8,0)</f>
        <v>2010</v>
      </c>
      <c r="C45" s="384">
        <f>VLOOKUP($C$30,ABMESSUNG_K,14,0)</f>
        <v>1660</v>
      </c>
      <c r="D45" s="318" t="s">
        <v>1005</v>
      </c>
      <c r="E45" s="319">
        <f>ROUND(E41*2.03,0)</f>
        <v>242</v>
      </c>
      <c r="F45" s="368">
        <f>ROUND(E45/($E$6*1.161),0)</f>
        <v>69</v>
      </c>
      <c r="G45" s="319">
        <f>ROUND(G41*2.03,0)</f>
        <v>451</v>
      </c>
      <c r="H45" s="368">
        <f>ROUND(G45/($E$6*1.161),0)</f>
        <v>129</v>
      </c>
      <c r="I45" s="319">
        <f>ROUND(I41*2.06,0)</f>
        <v>667</v>
      </c>
      <c r="J45" s="368">
        <f>ROUND(I45/($E$6*1.161),0)</f>
        <v>192</v>
      </c>
      <c r="K45" s="319">
        <f>ROUND(K41*2.03,0)</f>
        <v>790</v>
      </c>
      <c r="L45" s="368">
        <f>ROUND(K45/($E$6*1.161),0)</f>
        <v>227</v>
      </c>
      <c r="M45" s="319">
        <f>ROUND(M41*2.08,0)</f>
        <v>944</v>
      </c>
      <c r="N45" s="368">
        <f>ROUND(M45/($E$6*1.161),0)</f>
        <v>271</v>
      </c>
      <c r="O45" s="319">
        <f>ROUND(O41*2.1,0)</f>
        <v>1157</v>
      </c>
      <c r="P45" s="368">
        <f>ROUND(O45/($E$6*1.161),0)</f>
        <v>332</v>
      </c>
      <c r="Q45" s="319">
        <f>ROUND(Q41*2.11,0)</f>
        <v>1302</v>
      </c>
      <c r="R45" s="368">
        <f>ROUND(Q45/($E$6*1.161),0)</f>
        <v>374</v>
      </c>
      <c r="S45" s="393" t="s">
        <v>1087</v>
      </c>
    </row>
    <row r="46" spans="2:19" x14ac:dyDescent="0.2">
      <c r="B46" s="385"/>
      <c r="C46" s="384"/>
      <c r="D46" s="318" t="s">
        <v>1006</v>
      </c>
      <c r="E46" s="320">
        <f>ROUND(E42*2.03,0)</f>
        <v>242</v>
      </c>
      <c r="F46" s="370"/>
      <c r="G46" s="320">
        <f>ROUND(G42*2.03,0)</f>
        <v>451</v>
      </c>
      <c r="H46" s="370"/>
      <c r="I46" s="320">
        <f>ROUND(I42*2.06,0)</f>
        <v>667</v>
      </c>
      <c r="J46" s="370"/>
      <c r="K46" s="320">
        <f>ROUND(K42*2.03,0)</f>
        <v>790</v>
      </c>
      <c r="L46" s="370"/>
      <c r="M46" s="320">
        <f>ROUND(M42*2.08,0)</f>
        <v>944</v>
      </c>
      <c r="N46" s="370"/>
      <c r="O46" s="320">
        <f>ROUND(O42*2.1,0)</f>
        <v>1157</v>
      </c>
      <c r="P46" s="370"/>
      <c r="Q46" s="320">
        <f>ROUND(Q42*2.11,0)</f>
        <v>1302</v>
      </c>
      <c r="R46" s="370"/>
      <c r="S46" s="394"/>
    </row>
    <row r="47" spans="2:19" x14ac:dyDescent="0.2">
      <c r="B47" s="380">
        <f>VLOOKUP($C$30,ABMESSUNG_K,9,0)</f>
        <v>2490</v>
      </c>
      <c r="C47" s="382">
        <f>VLOOKUP($C$30,ABMESSUNG_K,15,0)</f>
        <v>2140</v>
      </c>
      <c r="D47" s="314" t="s">
        <v>1005</v>
      </c>
      <c r="E47" s="315">
        <f>ROUND(E41*2.55,0)</f>
        <v>303</v>
      </c>
      <c r="F47" s="368">
        <f>ROUND(E47/($E$6*1.161),0)</f>
        <v>87</v>
      </c>
      <c r="G47" s="315">
        <f>ROUND(G41*2.55,0)</f>
        <v>566</v>
      </c>
      <c r="H47" s="368">
        <f>ROUND(G47/($E$6*1.161),0)</f>
        <v>163</v>
      </c>
      <c r="I47" s="315">
        <f>ROUND(I41*2.6,0)</f>
        <v>842</v>
      </c>
      <c r="J47" s="368">
        <f>ROUND(I47/($E$6*1.161),0)</f>
        <v>242</v>
      </c>
      <c r="K47" s="315">
        <f>ROUND(K41*2.55,0)</f>
        <v>992</v>
      </c>
      <c r="L47" s="368">
        <f>ROUND(K47/($E$6*1.161),0)</f>
        <v>285</v>
      </c>
      <c r="M47" s="315">
        <f>ROUND(M41*2.65,0)</f>
        <v>1203</v>
      </c>
      <c r="N47" s="368">
        <f>ROUND(M47/($E$6*1.161),0)</f>
        <v>345</v>
      </c>
      <c r="O47" s="315">
        <f>ROUND(O41*2.68,0)</f>
        <v>1477</v>
      </c>
      <c r="P47" s="368">
        <f>ROUND(O47/($E$6*1.161),0)</f>
        <v>424</v>
      </c>
      <c r="Q47" s="315">
        <f>ROUND(Q41*2.7,0)</f>
        <v>1666</v>
      </c>
      <c r="R47" s="368">
        <f>ROUND(Q47/($E$6*1.161),0)</f>
        <v>478</v>
      </c>
      <c r="S47" s="393" t="s">
        <v>1088</v>
      </c>
    </row>
    <row r="48" spans="2:19" x14ac:dyDescent="0.2">
      <c r="B48" s="381"/>
      <c r="C48" s="383"/>
      <c r="D48" s="316" t="s">
        <v>1006</v>
      </c>
      <c r="E48" s="317">
        <f>ROUND(E42*2.55,0)</f>
        <v>303</v>
      </c>
      <c r="F48" s="369"/>
      <c r="G48" s="317">
        <f>ROUND(G42*2.55,0)</f>
        <v>566</v>
      </c>
      <c r="H48" s="369"/>
      <c r="I48" s="317">
        <f>ROUND(I42*2.6,0)</f>
        <v>842</v>
      </c>
      <c r="J48" s="369"/>
      <c r="K48" s="317">
        <f>ROUND(K42*2.55,0)</f>
        <v>992</v>
      </c>
      <c r="L48" s="369"/>
      <c r="M48" s="317">
        <f>ROUND(M42*2.65,0)</f>
        <v>1203</v>
      </c>
      <c r="N48" s="369"/>
      <c r="O48" s="317">
        <f>ROUND(O42*2.68,0)</f>
        <v>1477</v>
      </c>
      <c r="P48" s="369"/>
      <c r="Q48" s="317">
        <f>ROUND(Q42*2.7,0)</f>
        <v>1666</v>
      </c>
      <c r="R48" s="369"/>
      <c r="S48" s="394"/>
    </row>
    <row r="49" spans="2:21" x14ac:dyDescent="0.2">
      <c r="B49" s="380">
        <f>VLOOKUP($C$30,ABMESSUNG_K,10,0)</f>
        <v>2790</v>
      </c>
      <c r="C49" s="382">
        <f>VLOOKUP($C$30,ABMESSUNG_K,16,0)</f>
        <v>2440</v>
      </c>
      <c r="D49" s="314" t="s">
        <v>1005</v>
      </c>
      <c r="E49" s="315">
        <f>ROUND(E41*3.05,0)</f>
        <v>363</v>
      </c>
      <c r="F49" s="368">
        <f>ROUND(E49/($E$6*1.161),0)</f>
        <v>104</v>
      </c>
      <c r="G49" s="315">
        <f>ROUND(G41*3.05,0)</f>
        <v>677</v>
      </c>
      <c r="H49" s="368">
        <f>ROUND(G49/($E$6*1.161),0)</f>
        <v>194</v>
      </c>
      <c r="I49" s="315">
        <f>ROUND(I41*3.1,0)</f>
        <v>1004</v>
      </c>
      <c r="J49" s="368">
        <f>ROUND(I49/($E$6*1.161),0)</f>
        <v>288</v>
      </c>
      <c r="K49" s="315">
        <f>ROUND(K41*3.05,0)</f>
        <v>1186</v>
      </c>
      <c r="L49" s="368">
        <f>ROUND(K49/($E$6*1.161),0)</f>
        <v>341</v>
      </c>
      <c r="M49" s="315">
        <f>ROUND(M41*3.13,0)</f>
        <v>1421</v>
      </c>
      <c r="N49" s="368">
        <f>ROUND(M49/($E$6*1.161),0)</f>
        <v>408</v>
      </c>
      <c r="O49" s="315">
        <f>ROUND(O41*3.16,0)</f>
        <v>1741</v>
      </c>
      <c r="P49" s="368">
        <f>ROUND(O49/($E$6*1.161),0)</f>
        <v>500</v>
      </c>
      <c r="Q49" s="315">
        <f>ROUND(Q41*3.18,0)</f>
        <v>1962</v>
      </c>
      <c r="R49" s="368">
        <f>ROUND(Q49/($E$6*1.161),0)</f>
        <v>563</v>
      </c>
      <c r="S49" s="393" t="s">
        <v>1089</v>
      </c>
    </row>
    <row r="50" spans="2:21" x14ac:dyDescent="0.2">
      <c r="B50" s="381"/>
      <c r="C50" s="383"/>
      <c r="D50" s="316" t="s">
        <v>1006</v>
      </c>
      <c r="E50" s="317">
        <f>ROUND(E42*3.05,0)</f>
        <v>363</v>
      </c>
      <c r="F50" s="369"/>
      <c r="G50" s="317">
        <f>ROUND(G42*3.05,0)</f>
        <v>677</v>
      </c>
      <c r="H50" s="369"/>
      <c r="I50" s="317">
        <f>ROUND(I42*3.1,0)</f>
        <v>1004</v>
      </c>
      <c r="J50" s="369"/>
      <c r="K50" s="317">
        <f>ROUND(K42*3.05,0)</f>
        <v>1186</v>
      </c>
      <c r="L50" s="369"/>
      <c r="M50" s="317">
        <f>ROUND(M42*3.13,0)</f>
        <v>1421</v>
      </c>
      <c r="N50" s="369"/>
      <c r="O50" s="317">
        <f>ROUND(O42*3.16,0)</f>
        <v>1741</v>
      </c>
      <c r="P50" s="369"/>
      <c r="Q50" s="317">
        <f>ROUND(Q42*3.18,0)</f>
        <v>1962</v>
      </c>
      <c r="R50" s="369"/>
      <c r="S50" s="394"/>
    </row>
    <row r="51" spans="2:21" x14ac:dyDescent="0.2">
      <c r="B51" s="321"/>
      <c r="C51" s="322"/>
      <c r="D51" s="318"/>
      <c r="E51" s="320"/>
      <c r="F51" s="320"/>
      <c r="G51" s="320"/>
      <c r="H51" s="323"/>
      <c r="I51" s="320"/>
      <c r="J51" s="320"/>
      <c r="K51" s="320"/>
      <c r="L51" s="323"/>
      <c r="M51" s="320"/>
      <c r="N51" s="323"/>
      <c r="O51" s="320"/>
      <c r="P51" s="323"/>
      <c r="Q51" s="320"/>
      <c r="R51" s="320"/>
      <c r="S51" s="324" t="str">
        <f>VLOOKUP(23,TXT_K,$D$2,0)</f>
        <v>Leistung nach DIN EN 16430</v>
      </c>
    </row>
    <row r="52" spans="2:21" x14ac:dyDescent="0.2">
      <c r="B52" s="325"/>
      <c r="C52" s="326"/>
      <c r="D52" s="318"/>
      <c r="E52" s="325"/>
      <c r="F52" s="325"/>
      <c r="G52" s="325"/>
      <c r="H52" s="326"/>
      <c r="I52" s="325"/>
      <c r="J52" s="325"/>
      <c r="K52" s="325"/>
      <c r="L52" s="326"/>
      <c r="M52" s="325"/>
      <c r="N52" s="326"/>
      <c r="O52" s="325"/>
      <c r="P52" s="326"/>
      <c r="Q52" s="325"/>
      <c r="R52" s="325"/>
      <c r="S52" s="324"/>
    </row>
    <row r="53" spans="2:21" ht="15" x14ac:dyDescent="0.2">
      <c r="B53" s="389" t="str">
        <f>VLOOKUP(21,TXT_K,$D$2,0)</f>
        <v>Heizleistung [W]</v>
      </c>
      <c r="C53" s="389"/>
      <c r="D53" s="389"/>
      <c r="E53" s="389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27"/>
    </row>
    <row r="54" spans="2:21" ht="18" x14ac:dyDescent="0.2">
      <c r="B54" s="379" t="str">
        <f>CONCATENATE(C30)</f>
        <v>COLD 288-125-T2</v>
      </c>
      <c r="C54" s="379"/>
      <c r="D54" s="379"/>
      <c r="E54" s="379"/>
      <c r="F54" s="378" t="str">
        <f>VLOOKUP(7,TXT_K,$D$2,0)</f>
        <v>Leistungsprozent</v>
      </c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</row>
    <row r="55" spans="2:21" ht="25.15" customHeight="1" x14ac:dyDescent="0.2">
      <c r="B55" s="310" t="str">
        <f>VLOOKUP(3,TXT_K,$D$2,0)</f>
        <v>Wanne  Bk [mm]</v>
      </c>
      <c r="C55" s="374" t="str">
        <f>VLOOKUP(4,TXT_K,$D$2,0)</f>
        <v>Element He [mm]</v>
      </c>
      <c r="D55" s="374"/>
      <c r="E55" s="312">
        <v>0.2</v>
      </c>
      <c r="F55" s="311" t="s">
        <v>1124</v>
      </c>
      <c r="G55" s="312">
        <v>0.3</v>
      </c>
      <c r="H55" s="311" t="s">
        <v>1124</v>
      </c>
      <c r="I55" s="312">
        <v>0.4</v>
      </c>
      <c r="J55" s="311" t="s">
        <v>1124</v>
      </c>
      <c r="K55" s="312">
        <v>0.5</v>
      </c>
      <c r="L55" s="311" t="s">
        <v>1124</v>
      </c>
      <c r="M55" s="312">
        <v>0.6</v>
      </c>
      <c r="N55" s="311" t="s">
        <v>1124</v>
      </c>
      <c r="O55" s="312">
        <v>0.8</v>
      </c>
      <c r="P55" s="311" t="s">
        <v>1124</v>
      </c>
      <c r="Q55" s="312">
        <v>1</v>
      </c>
      <c r="R55" s="311" t="s">
        <v>1124</v>
      </c>
      <c r="S55" s="313" t="s">
        <v>970</v>
      </c>
    </row>
    <row r="56" spans="2:21" ht="16.899999999999999" customHeight="1" x14ac:dyDescent="0.2">
      <c r="B56" s="328">
        <f>VLOOKUP($C$30,ABMESSUNG_K,5,0)</f>
        <v>930</v>
      </c>
      <c r="C56" s="329">
        <f>VLOOKUP($C$30,ABMESSUNG_K,11,0)</f>
        <v>580</v>
      </c>
      <c r="D56" s="330" t="s">
        <v>1112</v>
      </c>
      <c r="E56" s="331">
        <f>ROUND(E57*0.5,0)</f>
        <v>276</v>
      </c>
      <c r="F56" s="366">
        <f t="shared" ref="F56:F61" si="1">ROUND(E56/($E$5*1.161),0)</f>
        <v>24</v>
      </c>
      <c r="G56" s="331">
        <f>ROUND(G57*0.5,0)</f>
        <v>419</v>
      </c>
      <c r="H56" s="366">
        <f t="shared" ref="H56:H61" si="2">ROUND(G56/($E$5*1.161),0)</f>
        <v>36</v>
      </c>
      <c r="I56" s="331">
        <f>ROUND(I57*0.5,0)</f>
        <v>563</v>
      </c>
      <c r="J56" s="366">
        <f t="shared" ref="J56:J61" si="3">ROUND(I56/($E$5*1.161),0)</f>
        <v>48</v>
      </c>
      <c r="K56" s="331">
        <f>ROUND(K57*0.5,0)</f>
        <v>652</v>
      </c>
      <c r="L56" s="366">
        <f t="shared" ref="L56:L61" si="4">ROUND(K56/($E$5*1.161),0)</f>
        <v>56</v>
      </c>
      <c r="M56" s="331">
        <f>ROUND(M57*0.5,0)</f>
        <v>741</v>
      </c>
      <c r="N56" s="366">
        <f t="shared" ref="N56:N61" si="5">ROUND(M56/($E$5*1.161),0)</f>
        <v>64</v>
      </c>
      <c r="O56" s="331">
        <f>ROUND(O57*0.5,0)</f>
        <v>868</v>
      </c>
      <c r="P56" s="366">
        <f t="shared" ref="P56:P61" si="6">ROUND(O56/($E$5*1.161),0)</f>
        <v>75</v>
      </c>
      <c r="Q56" s="331">
        <f>ROUND(Q57*0.5,0)</f>
        <v>939</v>
      </c>
      <c r="R56" s="366">
        <f t="shared" ref="R56:R61" si="7">ROUND(Q56/($E$5*1.161),0)</f>
        <v>81</v>
      </c>
      <c r="S56" s="332" t="s">
        <v>1084</v>
      </c>
    </row>
    <row r="57" spans="2:21" ht="16.899999999999999" customHeight="1" x14ac:dyDescent="0.2">
      <c r="B57" s="328">
        <f>VLOOKUP($C$30,ABMESSUNG_K,6,0)</f>
        <v>1230</v>
      </c>
      <c r="C57" s="329">
        <f>VLOOKUP($C$30,ABMESSUNG_K,12,0)</f>
        <v>880</v>
      </c>
      <c r="D57" s="330" t="s">
        <v>1112</v>
      </c>
      <c r="E57" s="331">
        <f>IF(RIGHT($C$30)="2",ROUND(SUM('BASE-HEIZ'!H3)*J11*VLOOKUP($D$5,FAKTOR_K,2,0),0),ROUND(SUM('BASE-HEIZ'!H7)*J11*VLOOKUP($D$5,FAKTOR_K,2,0),0))</f>
        <v>552</v>
      </c>
      <c r="F57" s="366">
        <f t="shared" si="1"/>
        <v>48</v>
      </c>
      <c r="G57" s="331">
        <f>IF(RIGHT($C$30)="2",ROUND(SUM('BASE-HEIZ'!G3)*J11*VLOOKUP($D$5,FAKTOR_K,2,0),0),ROUND(SUM('BASE-HEIZ'!G7)*J11*VLOOKUP($D$5,FAKTOR_K,2,0),0))</f>
        <v>838</v>
      </c>
      <c r="H57" s="366">
        <f t="shared" si="2"/>
        <v>72</v>
      </c>
      <c r="I57" s="331">
        <f>IF(RIGHT($C$30)="2",ROUND(SUM('BASE-HEIZ'!F3)*M11*VLOOKUP($D$5,FAKTOR_K,2,0),0),ROUND(SUM('BASE-HEIZ'!F7)*M11*VLOOKUP($D$5,FAKTOR_K,2,0),0))</f>
        <v>1125</v>
      </c>
      <c r="J57" s="366">
        <f t="shared" si="3"/>
        <v>97</v>
      </c>
      <c r="K57" s="331">
        <f>IF(RIGHT($C$30)="2",ROUND(SUM('BASE-HEIZ'!E3)*J11*VLOOKUP($D$5,FAKTOR_K,2,0),0),ROUND(SUM('BASE-HEIZ'!E7)*J11*VLOOKUP($D$5,FAKTOR_K,2,0),0))</f>
        <v>1303</v>
      </c>
      <c r="L57" s="366">
        <f t="shared" si="4"/>
        <v>112</v>
      </c>
      <c r="M57" s="331">
        <f>IF(RIGHT($C$30)="2",ROUND(SUM('BASE-HEIZ'!D3)*N11*VLOOKUP($D$5,FAKTOR_K,2,0),0),ROUND(SUM('BASE-HEIZ'!D7)*N11*VLOOKUP($D$5,FAKTOR_K,2,0),0))</f>
        <v>1481</v>
      </c>
      <c r="N57" s="366">
        <f t="shared" si="5"/>
        <v>128</v>
      </c>
      <c r="O57" s="331">
        <f>IF(RIGHT($C$30)="2",ROUND(SUM('BASE-HEIZ'!C3)*O11*VLOOKUP($D$5,FAKTOR_K,2,0),0),ROUND(SUM('BASE-HEIZ'!C7)*O11*VLOOKUP($D$5,FAKTOR_K,2,0),0))</f>
        <v>1736</v>
      </c>
      <c r="P57" s="366">
        <f t="shared" si="6"/>
        <v>150</v>
      </c>
      <c r="Q57" s="331">
        <f>IF(RIGHT($C$30)="2",ROUND(SUM('BASE-HEIZ'!B3)*P11*VLOOKUP($D$5,FAKTOR_K,2,0),0),ROUND(SUM('BASE-HEIZ'!B7)*P11*VLOOKUP($D$5,FAKTOR_K,2,0),0))</f>
        <v>1878</v>
      </c>
      <c r="R57" s="366">
        <f t="shared" si="7"/>
        <v>162</v>
      </c>
      <c r="S57" s="332" t="s">
        <v>1085</v>
      </c>
    </row>
    <row r="58" spans="2:21" ht="16.899999999999999" customHeight="1" x14ac:dyDescent="0.2">
      <c r="B58" s="328">
        <f>VLOOKUP($C$30,ABMESSUNG_K,7,0)</f>
        <v>1710</v>
      </c>
      <c r="C58" s="329">
        <f>VLOOKUP($C$30,ABMESSUNG_K,13,0)</f>
        <v>1360</v>
      </c>
      <c r="D58" s="330" t="s">
        <v>1112</v>
      </c>
      <c r="E58" s="331">
        <f>ROUND(E57*1.5,0)</f>
        <v>828</v>
      </c>
      <c r="F58" s="366">
        <f t="shared" si="1"/>
        <v>71</v>
      </c>
      <c r="G58" s="331">
        <f>ROUND(G57*1.5,0)</f>
        <v>1257</v>
      </c>
      <c r="H58" s="366">
        <f t="shared" si="2"/>
        <v>108</v>
      </c>
      <c r="I58" s="331">
        <f>ROUND(I57*1.5,0)</f>
        <v>1688</v>
      </c>
      <c r="J58" s="366">
        <f t="shared" si="3"/>
        <v>145</v>
      </c>
      <c r="K58" s="331">
        <f>ROUND(K57*1.5,0)</f>
        <v>1955</v>
      </c>
      <c r="L58" s="366">
        <f t="shared" si="4"/>
        <v>168</v>
      </c>
      <c r="M58" s="331">
        <f>ROUND(M57*1.5,0)</f>
        <v>2222</v>
      </c>
      <c r="N58" s="366">
        <f t="shared" si="5"/>
        <v>191</v>
      </c>
      <c r="O58" s="331">
        <f>ROUND(O57*1.5,0)</f>
        <v>2604</v>
      </c>
      <c r="P58" s="366">
        <f t="shared" si="6"/>
        <v>224</v>
      </c>
      <c r="Q58" s="331">
        <f>ROUND(Q57*1.5,0)</f>
        <v>2817</v>
      </c>
      <c r="R58" s="366">
        <f t="shared" si="7"/>
        <v>243</v>
      </c>
      <c r="S58" s="332" t="s">
        <v>1086</v>
      </c>
    </row>
    <row r="59" spans="2:21" ht="16.899999999999999" customHeight="1" x14ac:dyDescent="0.2">
      <c r="B59" s="328">
        <f>VLOOKUP($C$30,ABMESSUNG_K,8,0)</f>
        <v>2010</v>
      </c>
      <c r="C59" s="329">
        <f>VLOOKUP($C$30,ABMESSUNG_K,14,0)</f>
        <v>1660</v>
      </c>
      <c r="D59" s="330" t="s">
        <v>1112</v>
      </c>
      <c r="E59" s="331">
        <f>ROUND(E57*2,0)</f>
        <v>1104</v>
      </c>
      <c r="F59" s="366">
        <f t="shared" si="1"/>
        <v>95</v>
      </c>
      <c r="G59" s="331">
        <f>ROUND(G57*2,0)</f>
        <v>1676</v>
      </c>
      <c r="H59" s="366">
        <f t="shared" si="2"/>
        <v>144</v>
      </c>
      <c r="I59" s="331">
        <f>ROUND(I57*2,0)</f>
        <v>2250</v>
      </c>
      <c r="J59" s="366">
        <f t="shared" si="3"/>
        <v>194</v>
      </c>
      <c r="K59" s="331">
        <f>ROUND(K57*2,0)</f>
        <v>2606</v>
      </c>
      <c r="L59" s="366">
        <f t="shared" si="4"/>
        <v>224</v>
      </c>
      <c r="M59" s="331">
        <f>ROUND(M57*2,0)</f>
        <v>2962</v>
      </c>
      <c r="N59" s="366">
        <f t="shared" si="5"/>
        <v>255</v>
      </c>
      <c r="O59" s="331">
        <f>ROUND(O57*2,0)</f>
        <v>3472</v>
      </c>
      <c r="P59" s="366">
        <f t="shared" si="6"/>
        <v>299</v>
      </c>
      <c r="Q59" s="331">
        <f>ROUND(Q57*2,0)</f>
        <v>3756</v>
      </c>
      <c r="R59" s="366">
        <f t="shared" si="7"/>
        <v>324</v>
      </c>
      <c r="S59" s="332" t="s">
        <v>1087</v>
      </c>
    </row>
    <row r="60" spans="2:21" ht="16.899999999999999" customHeight="1" x14ac:dyDescent="0.2">
      <c r="B60" s="328">
        <f>VLOOKUP($C$30,ABMESSUNG_K,9,0)</f>
        <v>2490</v>
      </c>
      <c r="C60" s="329">
        <f>VLOOKUP($C$30,ABMESSUNG_K,15,0)</f>
        <v>2140</v>
      </c>
      <c r="D60" s="330" t="s">
        <v>1112</v>
      </c>
      <c r="E60" s="331">
        <f>ROUND(E57*2.5,0)</f>
        <v>1380</v>
      </c>
      <c r="F60" s="366">
        <f t="shared" si="1"/>
        <v>119</v>
      </c>
      <c r="G60" s="331">
        <f>ROUND(G57*2.5,0)</f>
        <v>2095</v>
      </c>
      <c r="H60" s="366">
        <f t="shared" si="2"/>
        <v>180</v>
      </c>
      <c r="I60" s="331">
        <f>ROUND(I57*2.5,0)</f>
        <v>2813</v>
      </c>
      <c r="J60" s="366">
        <f t="shared" si="3"/>
        <v>242</v>
      </c>
      <c r="K60" s="331">
        <f>ROUND(K57*2.5,0)</f>
        <v>3258</v>
      </c>
      <c r="L60" s="366">
        <f t="shared" si="4"/>
        <v>281</v>
      </c>
      <c r="M60" s="331">
        <f>ROUND(M57*2.5,0)</f>
        <v>3703</v>
      </c>
      <c r="N60" s="366">
        <f t="shared" si="5"/>
        <v>319</v>
      </c>
      <c r="O60" s="331">
        <f>ROUND(O57*2.5,0)</f>
        <v>4340</v>
      </c>
      <c r="P60" s="366">
        <f t="shared" si="6"/>
        <v>374</v>
      </c>
      <c r="Q60" s="331">
        <f>ROUND(Q57*2.5,0)</f>
        <v>4695</v>
      </c>
      <c r="R60" s="366">
        <f t="shared" si="7"/>
        <v>404</v>
      </c>
      <c r="S60" s="332" t="s">
        <v>1088</v>
      </c>
      <c r="U60" s="333"/>
    </row>
    <row r="61" spans="2:21" ht="16.899999999999999" customHeight="1" x14ac:dyDescent="0.2">
      <c r="B61" s="328">
        <f>VLOOKUP($C$30,ABMESSUNG_K,10,0)</f>
        <v>2790</v>
      </c>
      <c r="C61" s="329">
        <f>VLOOKUP($C$30,ABMESSUNG_K,16,0)</f>
        <v>2440</v>
      </c>
      <c r="D61" s="330" t="s">
        <v>1112</v>
      </c>
      <c r="E61" s="331">
        <f>ROUND(E57*3,0)</f>
        <v>1656</v>
      </c>
      <c r="F61" s="366">
        <f t="shared" si="1"/>
        <v>143</v>
      </c>
      <c r="G61" s="331">
        <f>ROUND(G57*3,0)</f>
        <v>2514</v>
      </c>
      <c r="H61" s="366">
        <f t="shared" si="2"/>
        <v>217</v>
      </c>
      <c r="I61" s="331">
        <f>ROUND(I57*3,0)</f>
        <v>3375</v>
      </c>
      <c r="J61" s="366">
        <f t="shared" si="3"/>
        <v>291</v>
      </c>
      <c r="K61" s="331">
        <f>ROUND(K57*3,0)</f>
        <v>3909</v>
      </c>
      <c r="L61" s="366">
        <f t="shared" si="4"/>
        <v>337</v>
      </c>
      <c r="M61" s="331">
        <f>ROUND(M57*3,0)</f>
        <v>4443</v>
      </c>
      <c r="N61" s="366">
        <f t="shared" si="5"/>
        <v>383</v>
      </c>
      <c r="O61" s="331">
        <f>ROUND(O57*3,0)</f>
        <v>5208</v>
      </c>
      <c r="P61" s="366">
        <f t="shared" si="6"/>
        <v>449</v>
      </c>
      <c r="Q61" s="331">
        <f>ROUND(Q57*3,0)</f>
        <v>5634</v>
      </c>
      <c r="R61" s="366">
        <f t="shared" si="7"/>
        <v>485</v>
      </c>
      <c r="S61" s="332" t="s">
        <v>1089</v>
      </c>
    </row>
    <row r="62" spans="2:21" x14ac:dyDescent="0.2">
      <c r="S62" s="324" t="str">
        <f>VLOOKUP(23,TXT_K,$D$2,0)</f>
        <v>Leistung nach DIN EN 16430</v>
      </c>
    </row>
    <row r="63" spans="2:21" x14ac:dyDescent="0.2">
      <c r="B63" s="333" t="str">
        <f>VLOOKUP(96,TXT_K,$D$2,0)</f>
        <v>Angabe in Watt  pro Bodenkonvektor-Länge Bk [mm]</v>
      </c>
      <c r="C63" s="325"/>
      <c r="D63" s="325"/>
      <c r="E63" s="325"/>
      <c r="F63" s="325"/>
      <c r="G63" s="325"/>
      <c r="H63" s="325"/>
      <c r="I63" s="325"/>
      <c r="J63" s="325"/>
      <c r="K63" s="325"/>
      <c r="L63" s="325"/>
      <c r="M63" s="325"/>
      <c r="N63" s="325"/>
      <c r="O63" s="325"/>
      <c r="P63" s="325"/>
      <c r="Q63" s="325"/>
      <c r="R63" s="325"/>
    </row>
    <row r="64" spans="2:21" x14ac:dyDescent="0.2">
      <c r="B64" s="333" t="str">
        <f>VLOOKUP(41,TXT_K,$D$2,0)</f>
        <v>Leistungsdaten mit Abdeckung, Rollrost Typ 941-17-B (f.Q. 70%)</v>
      </c>
      <c r="C64" s="325"/>
      <c r="D64" s="325"/>
      <c r="E64" s="325"/>
      <c r="F64" s="325"/>
      <c r="G64" s="325"/>
      <c r="H64" s="325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S64" s="334" t="str">
        <f>VLOOKUP(26,TXT_K,$D$2,0)</f>
        <v>Querstromventilator Typ EC65  24VDC</v>
      </c>
    </row>
    <row r="65" spans="2:19" x14ac:dyDescent="0.2">
      <c r="B65" s="333" t="str">
        <f>VLOOKUP(42,TXT_K,$D$2,0)</f>
        <v>Bei abweichenden Abdeckungen, ist mit einer Leistungsminderung zu rechnen</v>
      </c>
      <c r="C65" s="325"/>
      <c r="D65" s="325"/>
      <c r="E65" s="325"/>
      <c r="F65" s="325"/>
      <c r="G65" s="325"/>
      <c r="H65" s="325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S65" s="324" t="str">
        <f>VLOOKUP(10,TXT_K,$D$2,0)</f>
        <v>M: Anzahl Motoren</v>
      </c>
    </row>
    <row r="66" spans="2:19" x14ac:dyDescent="0.2">
      <c r="B66" s="333" t="str">
        <f>VLOOKUP(93,TXT_K,$D$2,0)</f>
        <v>Sonderkonstruktion unterliegen nicht jener Leistungstabelle</v>
      </c>
      <c r="C66" s="325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4" t="str">
        <f>VLOOKUP(14,TXT_K,$D$2,0)</f>
        <v>QVw: Anzahl Ventilatoren-Walzen</v>
      </c>
    </row>
    <row r="67" spans="2:19" x14ac:dyDescent="0.2">
      <c r="B67" s="325" t="str">
        <f>CONCATENATE("(*) ",VLOOKUP(28,TXT_K,$D$2,0))</f>
        <v>(*) Minimale Wassermassenströme von ca. 20 kg/h sollen eingehalten werden</v>
      </c>
      <c r="C67" s="325"/>
      <c r="D67" s="325"/>
      <c r="E67" s="325"/>
      <c r="F67" s="325"/>
      <c r="G67" s="325"/>
      <c r="H67" s="325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S67" s="324" t="str">
        <f>VLOOKUP(15,TXT_K,$D$2,0)</f>
        <v>ṁ: Wassermassenstrom [kg/h]</v>
      </c>
    </row>
    <row r="68" spans="2:19" x14ac:dyDescent="0.2">
      <c r="B68" s="325" t="str">
        <f>CONCATENATE("(*) ",VLOOKUP(95,TXT_K,$D$2,0))</f>
        <v>(*) Massenstrom rechnerisch ermilltelt, allfäliger Projektabgleich machen</v>
      </c>
      <c r="C68" s="325"/>
      <c r="D68" s="325"/>
      <c r="E68" s="325"/>
      <c r="F68" s="325"/>
      <c r="G68" s="325"/>
      <c r="H68" s="325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S68" s="324" t="str">
        <f>VLOOKUP(5,TXT_K,$D$2,0)</f>
        <v>Qt [W]: Kühlleistung gesamt</v>
      </c>
    </row>
    <row r="69" spans="2:19" x14ac:dyDescent="0.2">
      <c r="C69" s="325"/>
      <c r="D69" s="325"/>
      <c r="E69" s="325"/>
      <c r="F69" s="325"/>
      <c r="G69" s="325"/>
      <c r="H69" s="325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S69" s="324" t="str">
        <f>VLOOKUP(6,TXT_K,$D$2,0)</f>
        <v>Qs [W]: Kühlleistung sensibel</v>
      </c>
    </row>
    <row r="70" spans="2:19" x14ac:dyDescent="0.2">
      <c r="C70" s="325"/>
      <c r="D70" s="325"/>
      <c r="E70" s="325"/>
      <c r="F70" s="325"/>
      <c r="G70" s="325"/>
      <c r="H70" s="325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S70" s="324" t="str">
        <f>VLOOKUP(VLOOKUP($C$30,ABMESSUNG_K,17,0),TXT_K,$D$2,0)</f>
        <v>T2: Trockene Kühlung - 2-Leiter-System ohne Ablaufstutzen für Kondensat</v>
      </c>
    </row>
    <row r="71" spans="2:19" x14ac:dyDescent="0.2">
      <c r="C71" s="325"/>
      <c r="D71" s="325"/>
      <c r="E71" s="325"/>
      <c r="F71" s="325"/>
      <c r="G71" s="325"/>
      <c r="H71" s="325"/>
      <c r="I71" s="325"/>
      <c r="J71" s="325"/>
      <c r="K71" s="325"/>
      <c r="L71" s="325"/>
      <c r="M71" s="325"/>
      <c r="N71" s="325"/>
      <c r="O71" s="325"/>
      <c r="P71" s="325"/>
      <c r="Q71" s="325"/>
      <c r="R71" s="325"/>
    </row>
    <row r="72" spans="2:19" ht="12" customHeight="1" x14ac:dyDescent="0.2"/>
  </sheetData>
  <sheetProtection algorithmName="SHA-512" hashValue="UDr1mpGOm7wSvpGU86R0gWEwVoGsARtj93SmubWKoXIM2kx8gYQ87TA3ai7abjO+qnqhwsfkgd4bRb5BiKXidg==" saltValue="WpJ7Q0xL3s1bfnyBxja0aQ==" spinCount="100000" sheet="1" objects="1" scenarios="1" selectLockedCells="1"/>
  <protectedRanges>
    <protectedRange sqref="Q29:S31 N29:O31 C29:D30" name="Bereich1"/>
  </protectedRanges>
  <mergeCells count="40">
    <mergeCell ref="B53:E53"/>
    <mergeCell ref="Q33:S33"/>
    <mergeCell ref="Q34:S34"/>
    <mergeCell ref="L33:P33"/>
    <mergeCell ref="L34:P34"/>
    <mergeCell ref="S43:S44"/>
    <mergeCell ref="S45:S46"/>
    <mergeCell ref="S47:S48"/>
    <mergeCell ref="S49:S50"/>
    <mergeCell ref="F37:S37"/>
    <mergeCell ref="B37:E37"/>
    <mergeCell ref="C38:D38"/>
    <mergeCell ref="B39:B40"/>
    <mergeCell ref="B41:B42"/>
    <mergeCell ref="S39:S40"/>
    <mergeCell ref="S41:S42"/>
    <mergeCell ref="C41:C42"/>
    <mergeCell ref="N28:O28"/>
    <mergeCell ref="N29:O29"/>
    <mergeCell ref="N30:O30"/>
    <mergeCell ref="N31:O31"/>
    <mergeCell ref="C39:C40"/>
    <mergeCell ref="C30:E30"/>
    <mergeCell ref="B36:E36"/>
    <mergeCell ref="Q29:R29"/>
    <mergeCell ref="Q30:R30"/>
    <mergeCell ref="Q31:R31"/>
    <mergeCell ref="Q28:R28"/>
    <mergeCell ref="C55:D55"/>
    <mergeCell ref="C29:E29"/>
    <mergeCell ref="F54:S54"/>
    <mergeCell ref="B54:E54"/>
    <mergeCell ref="B47:B48"/>
    <mergeCell ref="B49:B50"/>
    <mergeCell ref="C43:C44"/>
    <mergeCell ref="C45:C46"/>
    <mergeCell ref="C47:C48"/>
    <mergeCell ref="C49:C50"/>
    <mergeCell ref="B45:B46"/>
    <mergeCell ref="B43:B44"/>
  </mergeCells>
  <phoneticPr fontId="19" type="noConversion"/>
  <conditionalFormatting sqref="N29:O31">
    <cfRule type="expression" dxfId="242" priority="2">
      <formula>$B$32&lt;&gt;""</formula>
    </cfRule>
  </conditionalFormatting>
  <conditionalFormatting sqref="Q29:Q31 S29:S31">
    <cfRule type="expression" dxfId="241" priority="1">
      <formula>$C$24="Stop"</formula>
    </cfRule>
  </conditionalFormatting>
  <dataValidations count="8">
    <dataValidation type="list" allowBlank="1" showInputMessage="1" showErrorMessage="1" sqref="C29" xr:uid="{6EEF6BE2-235B-4AF9-B45B-F6D459D65492}">
      <formula1>"Deutsch,Français"</formula1>
    </dataValidation>
    <dataValidation type="list" allowBlank="1" showInputMessage="1" showErrorMessage="1" sqref="C30" xr:uid="{310736E2-5E9C-465D-8A22-C3CD9D008692}">
      <formula1>"COLD 288-125-T2,COLD 288-125-N2,COLD 288-125-T4,COLD 288-125-N4,COLD 256-160-T2,COLD 256-160-N2,COLD 256-160-T4,COLD 256-160-N4"</formula1>
    </dataValidation>
    <dataValidation type="whole" allowBlank="1" showInputMessage="1" showErrorMessage="1" sqref="N29:O29" xr:uid="{F0B7432C-70C1-4539-B90C-8D7358B23604}">
      <formula1>30</formula1>
      <formula2>90</formula2>
    </dataValidation>
    <dataValidation type="whole" allowBlank="1" showInputMessage="1" showErrorMessage="1" sqref="N30:O30" xr:uid="{E6B8F895-6B4C-4527-B79D-3ED59C276766}">
      <formula1>25</formula1>
      <formula2>85</formula2>
    </dataValidation>
    <dataValidation type="whole" allowBlank="1" showInputMessage="1" showErrorMessage="1" sqref="N31:O31" xr:uid="{08FE69BE-A81A-4583-9920-2D37D12AEA78}">
      <formula1>15</formula1>
      <formula2>29</formula2>
    </dataValidation>
    <dataValidation type="whole" allowBlank="1" showInputMessage="1" showErrorMessage="1" sqref="Q29 S29" xr:uid="{19144D67-8591-4BDE-994A-93D526A24E8B}">
      <formula1>4</formula1>
      <formula2>20</formula2>
    </dataValidation>
    <dataValidation type="whole" allowBlank="1" showInputMessage="1" showErrorMessage="1" sqref="Q30 S30" xr:uid="{1811A9C0-CA2E-40B0-869F-7C330575780C}">
      <formula1>6</formula1>
      <formula2>24</formula2>
    </dataValidation>
    <dataValidation type="whole" allowBlank="1" showInputMessage="1" showErrorMessage="1" sqref="Q31 S31" xr:uid="{6C51B12A-FBB6-4797-BE67-273E2C6A99BD}">
      <formula1>20</formula1>
      <formula2>30</formula2>
    </dataValidation>
  </dataValidations>
  <pageMargins left="0.51181102362204722" right="0.31496062992125984" top="1.1811023622047245" bottom="0.78740157480314965" header="0.31496062992125984" footer="0.31496062992125984"/>
  <pageSetup paperSize="9" orientation="portrait" r:id="rId1"/>
  <headerFooter>
    <oddHeader>&amp;C&amp;G</oddHeader>
    <oddFooter>&amp;C&amp;G</oddFooter>
  </headerFooter>
  <ignoredErrors>
    <ignoredError sqref="F39:R50 F56:Q61" formula="1"/>
  </ignoredErrors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129"/>
  <sheetViews>
    <sheetView workbookViewId="0">
      <selection sqref="A1:AC939"/>
    </sheetView>
  </sheetViews>
  <sheetFormatPr baseColWidth="10" defaultRowHeight="15" x14ac:dyDescent="0.25"/>
  <sheetData>
    <row r="1" spans="1:2" x14ac:dyDescent="0.25">
      <c r="A1">
        <v>6</v>
      </c>
      <c r="B1">
        <v>8.5000000000000006E-2</v>
      </c>
    </row>
    <row r="2" spans="1:2" x14ac:dyDescent="0.25">
      <c r="A2">
        <v>6.5</v>
      </c>
      <c r="B2">
        <v>0.111</v>
      </c>
    </row>
    <row r="3" spans="1:2" x14ac:dyDescent="0.25">
      <c r="A3">
        <v>7</v>
      </c>
      <c r="B3">
        <v>0.124</v>
      </c>
    </row>
    <row r="4" spans="1:2" x14ac:dyDescent="0.25">
      <c r="A4">
        <v>7.5</v>
      </c>
      <c r="B4">
        <v>0.13600000000000001</v>
      </c>
    </row>
    <row r="5" spans="1:2" x14ac:dyDescent="0.25">
      <c r="A5">
        <v>8</v>
      </c>
      <c r="B5">
        <v>0.14699999999999999</v>
      </c>
    </row>
    <row r="6" spans="1:2" x14ac:dyDescent="0.25">
      <c r="A6">
        <v>8.5</v>
      </c>
      <c r="B6">
        <v>0.158</v>
      </c>
    </row>
    <row r="7" spans="1:2" x14ac:dyDescent="0.25">
      <c r="A7">
        <v>9</v>
      </c>
      <c r="B7">
        <v>0.16800000000000001</v>
      </c>
    </row>
    <row r="8" spans="1:2" x14ac:dyDescent="0.25">
      <c r="A8">
        <v>9.5</v>
      </c>
      <c r="B8">
        <v>0.17799999999999999</v>
      </c>
    </row>
    <row r="9" spans="1:2" x14ac:dyDescent="0.25">
      <c r="A9">
        <v>10</v>
      </c>
      <c r="B9">
        <v>0.188</v>
      </c>
    </row>
    <row r="10" spans="1:2" x14ac:dyDescent="0.25">
      <c r="A10">
        <v>10.5</v>
      </c>
      <c r="B10">
        <v>0.19700000000000001</v>
      </c>
    </row>
    <row r="11" spans="1:2" x14ac:dyDescent="0.25">
      <c r="A11">
        <v>11</v>
      </c>
      <c r="B11">
        <v>0.20699999999999999</v>
      </c>
    </row>
    <row r="12" spans="1:2" x14ac:dyDescent="0.25">
      <c r="A12">
        <v>11.5</v>
      </c>
      <c r="B12">
        <v>0.217</v>
      </c>
    </row>
    <row r="13" spans="1:2" x14ac:dyDescent="0.25">
      <c r="A13">
        <v>12</v>
      </c>
      <c r="B13">
        <v>0.22600000000000001</v>
      </c>
    </row>
    <row r="14" spans="1:2" x14ac:dyDescent="0.25">
      <c r="A14">
        <v>12.5</v>
      </c>
      <c r="B14">
        <v>0.23599999999999999</v>
      </c>
    </row>
    <row r="15" spans="1:2" x14ac:dyDescent="0.25">
      <c r="A15">
        <v>13</v>
      </c>
      <c r="B15">
        <v>0.247</v>
      </c>
    </row>
    <row r="16" spans="1:2" x14ac:dyDescent="0.25">
      <c r="A16">
        <v>13.5</v>
      </c>
      <c r="B16">
        <v>0.25700000000000001</v>
      </c>
    </row>
    <row r="17" spans="1:2" x14ac:dyDescent="0.25">
      <c r="A17">
        <v>14</v>
      </c>
      <c r="B17">
        <v>0.26600000000000001</v>
      </c>
    </row>
    <row r="18" spans="1:2" x14ac:dyDescent="0.25">
      <c r="A18">
        <v>14.5</v>
      </c>
      <c r="B18">
        <v>0.27600000000000002</v>
      </c>
    </row>
    <row r="19" spans="1:2" x14ac:dyDescent="0.25">
      <c r="A19">
        <v>15</v>
      </c>
      <c r="B19">
        <v>0.28599999999999998</v>
      </c>
    </row>
    <row r="20" spans="1:2" x14ac:dyDescent="0.25">
      <c r="A20">
        <v>15.5</v>
      </c>
      <c r="B20">
        <v>0.29599999999999999</v>
      </c>
    </row>
    <row r="21" spans="1:2" x14ac:dyDescent="0.25">
      <c r="A21">
        <v>16</v>
      </c>
      <c r="B21">
        <v>0.30599999999999999</v>
      </c>
    </row>
    <row r="22" spans="1:2" x14ac:dyDescent="0.25">
      <c r="A22">
        <v>16.5</v>
      </c>
      <c r="B22">
        <v>0.315</v>
      </c>
    </row>
    <row r="23" spans="1:2" x14ac:dyDescent="0.25">
      <c r="A23">
        <v>17</v>
      </c>
      <c r="B23">
        <v>0.32600000000000001</v>
      </c>
    </row>
    <row r="24" spans="1:2" x14ac:dyDescent="0.25">
      <c r="A24">
        <v>17.5</v>
      </c>
      <c r="B24">
        <v>0.33600000000000002</v>
      </c>
    </row>
    <row r="25" spans="1:2" x14ac:dyDescent="0.25">
      <c r="A25">
        <v>18</v>
      </c>
      <c r="B25">
        <v>0.34599999999999997</v>
      </c>
    </row>
    <row r="26" spans="1:2" x14ac:dyDescent="0.25">
      <c r="A26">
        <v>18.5</v>
      </c>
      <c r="B26">
        <v>0.35499999999999998</v>
      </c>
    </row>
    <row r="27" spans="1:2" x14ac:dyDescent="0.25">
      <c r="A27">
        <v>19</v>
      </c>
      <c r="B27">
        <v>0.36499999999999999</v>
      </c>
    </row>
    <row r="28" spans="1:2" x14ac:dyDescent="0.25">
      <c r="A28">
        <v>19.5</v>
      </c>
      <c r="B28">
        <v>0.375</v>
      </c>
    </row>
    <row r="29" spans="1:2" x14ac:dyDescent="0.25">
      <c r="A29">
        <v>20</v>
      </c>
      <c r="B29">
        <v>0.38600000000000001</v>
      </c>
    </row>
    <row r="30" spans="1:2" x14ac:dyDescent="0.25">
      <c r="A30">
        <v>20.5</v>
      </c>
      <c r="B30">
        <v>0.39500000000000002</v>
      </c>
    </row>
    <row r="31" spans="1:2" x14ac:dyDescent="0.25">
      <c r="A31">
        <v>21</v>
      </c>
      <c r="B31">
        <v>0.40600000000000003</v>
      </c>
    </row>
    <row r="32" spans="1:2" x14ac:dyDescent="0.25">
      <c r="A32">
        <v>21.5</v>
      </c>
      <c r="B32">
        <v>0.41599999999999998</v>
      </c>
    </row>
    <row r="33" spans="1:2" x14ac:dyDescent="0.25">
      <c r="A33">
        <v>22</v>
      </c>
      <c r="B33">
        <v>0.42599999999999999</v>
      </c>
    </row>
    <row r="34" spans="1:2" x14ac:dyDescent="0.25">
      <c r="A34">
        <v>22.5</v>
      </c>
      <c r="B34">
        <v>0.435</v>
      </c>
    </row>
    <row r="35" spans="1:2" x14ac:dyDescent="0.25">
      <c r="A35">
        <v>23</v>
      </c>
      <c r="B35">
        <v>0.44600000000000001</v>
      </c>
    </row>
    <row r="36" spans="1:2" x14ac:dyDescent="0.25">
      <c r="A36">
        <v>23.5</v>
      </c>
      <c r="B36">
        <v>0.45600000000000002</v>
      </c>
    </row>
    <row r="37" spans="1:2" x14ac:dyDescent="0.25">
      <c r="A37">
        <v>24</v>
      </c>
      <c r="B37">
        <v>0.46700000000000003</v>
      </c>
    </row>
    <row r="38" spans="1:2" x14ac:dyDescent="0.25">
      <c r="A38">
        <v>24.5</v>
      </c>
      <c r="B38">
        <v>0.47599999999999998</v>
      </c>
    </row>
    <row r="39" spans="1:2" x14ac:dyDescent="0.25">
      <c r="A39">
        <v>25</v>
      </c>
      <c r="B39">
        <v>0.48599999999999999</v>
      </c>
    </row>
    <row r="40" spans="1:2" x14ac:dyDescent="0.25">
      <c r="A40">
        <v>25.5</v>
      </c>
      <c r="B40">
        <v>0.496</v>
      </c>
    </row>
    <row r="41" spans="1:2" x14ac:dyDescent="0.25">
      <c r="A41">
        <v>26</v>
      </c>
      <c r="B41">
        <v>0.50700000000000001</v>
      </c>
    </row>
    <row r="42" spans="1:2" x14ac:dyDescent="0.25">
      <c r="A42">
        <v>26.5</v>
      </c>
      <c r="B42">
        <v>0.51600000000000001</v>
      </c>
    </row>
    <row r="43" spans="1:2" x14ac:dyDescent="0.25">
      <c r="A43">
        <v>27</v>
      </c>
      <c r="B43">
        <v>0.52700000000000002</v>
      </c>
    </row>
    <row r="44" spans="1:2" x14ac:dyDescent="0.25">
      <c r="A44">
        <v>27.5</v>
      </c>
      <c r="B44">
        <v>0.53700000000000003</v>
      </c>
    </row>
    <row r="45" spans="1:2" x14ac:dyDescent="0.25">
      <c r="A45">
        <v>28</v>
      </c>
      <c r="B45">
        <v>0.54700000000000004</v>
      </c>
    </row>
    <row r="46" spans="1:2" x14ac:dyDescent="0.25">
      <c r="A46">
        <v>28.5</v>
      </c>
      <c r="B46">
        <v>0.55700000000000005</v>
      </c>
    </row>
    <row r="47" spans="1:2" x14ac:dyDescent="0.25">
      <c r="A47">
        <v>29</v>
      </c>
      <c r="B47">
        <v>0.56799999999999995</v>
      </c>
    </row>
    <row r="48" spans="1:2" x14ac:dyDescent="0.25">
      <c r="A48">
        <v>29.5</v>
      </c>
      <c r="B48">
        <v>0.57799999999999996</v>
      </c>
    </row>
    <row r="49" spans="1:2" x14ac:dyDescent="0.25">
      <c r="A49">
        <v>30</v>
      </c>
      <c r="B49">
        <v>0.58799999999999997</v>
      </c>
    </row>
    <row r="50" spans="1:2" x14ac:dyDescent="0.25">
      <c r="A50">
        <v>30.5</v>
      </c>
      <c r="B50">
        <v>0.59799999999999998</v>
      </c>
    </row>
    <row r="51" spans="1:2" x14ac:dyDescent="0.25">
      <c r="A51">
        <v>31</v>
      </c>
      <c r="B51">
        <v>0.60899999999999999</v>
      </c>
    </row>
    <row r="52" spans="1:2" x14ac:dyDescent="0.25">
      <c r="A52">
        <v>31.5</v>
      </c>
      <c r="B52">
        <v>0.61799999999999999</v>
      </c>
    </row>
    <row r="53" spans="1:2" x14ac:dyDescent="0.25">
      <c r="A53">
        <v>32</v>
      </c>
      <c r="B53">
        <v>0.628</v>
      </c>
    </row>
    <row r="54" spans="1:2" x14ac:dyDescent="0.25">
      <c r="A54">
        <v>32.5</v>
      </c>
      <c r="B54">
        <v>0.63900000000000001</v>
      </c>
    </row>
    <row r="55" spans="1:2" x14ac:dyDescent="0.25">
      <c r="A55">
        <v>33</v>
      </c>
      <c r="B55">
        <v>0.65</v>
      </c>
    </row>
    <row r="56" spans="1:2" x14ac:dyDescent="0.25">
      <c r="A56">
        <v>33.5</v>
      </c>
      <c r="B56">
        <v>0.65900000000000003</v>
      </c>
    </row>
    <row r="57" spans="1:2" x14ac:dyDescent="0.25">
      <c r="A57">
        <v>34</v>
      </c>
      <c r="B57">
        <v>0.67</v>
      </c>
    </row>
    <row r="58" spans="1:2" x14ac:dyDescent="0.25">
      <c r="A58">
        <v>34.5</v>
      </c>
      <c r="B58">
        <v>0.68</v>
      </c>
    </row>
    <row r="59" spans="1:2" x14ac:dyDescent="0.25">
      <c r="A59">
        <v>35</v>
      </c>
      <c r="B59">
        <v>0.69</v>
      </c>
    </row>
    <row r="60" spans="1:2" x14ac:dyDescent="0.25">
      <c r="A60">
        <v>35.5</v>
      </c>
      <c r="B60">
        <v>0.7</v>
      </c>
    </row>
    <row r="61" spans="1:2" x14ac:dyDescent="0.25">
      <c r="A61">
        <v>36</v>
      </c>
      <c r="B61">
        <v>0.71099999999999997</v>
      </c>
    </row>
    <row r="62" spans="1:2" x14ac:dyDescent="0.25">
      <c r="A62">
        <v>36.5</v>
      </c>
      <c r="B62">
        <v>0.72099999999999997</v>
      </c>
    </row>
    <row r="63" spans="1:2" x14ac:dyDescent="0.25">
      <c r="A63">
        <v>37</v>
      </c>
      <c r="B63">
        <v>0.73099999999999998</v>
      </c>
    </row>
    <row r="64" spans="1:2" x14ac:dyDescent="0.25">
      <c r="A64">
        <v>37.5</v>
      </c>
      <c r="B64">
        <v>0.74099999999999999</v>
      </c>
    </row>
    <row r="65" spans="1:2" x14ac:dyDescent="0.25">
      <c r="A65">
        <v>38</v>
      </c>
      <c r="B65">
        <v>0.752</v>
      </c>
    </row>
    <row r="66" spans="1:2" x14ac:dyDescent="0.25">
      <c r="A66">
        <v>38.5</v>
      </c>
      <c r="B66">
        <v>0.76200000000000001</v>
      </c>
    </row>
    <row r="67" spans="1:2" x14ac:dyDescent="0.25">
      <c r="A67">
        <v>39</v>
      </c>
      <c r="B67">
        <v>0.77300000000000002</v>
      </c>
    </row>
    <row r="68" spans="1:2" x14ac:dyDescent="0.25">
      <c r="A68">
        <v>39.5</v>
      </c>
      <c r="B68">
        <v>0.78300000000000003</v>
      </c>
    </row>
    <row r="69" spans="1:2" x14ac:dyDescent="0.25">
      <c r="A69">
        <v>40</v>
      </c>
      <c r="B69">
        <v>0.79200000000000004</v>
      </c>
    </row>
    <row r="70" spans="1:2" x14ac:dyDescent="0.25">
      <c r="A70">
        <v>40.5</v>
      </c>
      <c r="B70">
        <v>0.80300000000000005</v>
      </c>
    </row>
    <row r="71" spans="1:2" x14ac:dyDescent="0.25">
      <c r="A71">
        <v>41</v>
      </c>
      <c r="B71">
        <v>0.81399999999999995</v>
      </c>
    </row>
    <row r="72" spans="1:2" x14ac:dyDescent="0.25">
      <c r="A72">
        <v>41.5</v>
      </c>
      <c r="B72">
        <v>0.82399999999999995</v>
      </c>
    </row>
    <row r="73" spans="1:2" x14ac:dyDescent="0.25">
      <c r="A73">
        <v>42</v>
      </c>
      <c r="B73">
        <v>0.83399999999999996</v>
      </c>
    </row>
    <row r="74" spans="1:2" x14ac:dyDescent="0.25">
      <c r="A74">
        <v>42.5</v>
      </c>
      <c r="B74">
        <v>0.84499999999999997</v>
      </c>
    </row>
    <row r="75" spans="1:2" x14ac:dyDescent="0.25">
      <c r="A75">
        <v>43</v>
      </c>
      <c r="B75">
        <v>0.85499999999999998</v>
      </c>
    </row>
    <row r="76" spans="1:2" x14ac:dyDescent="0.25">
      <c r="A76">
        <v>43.5</v>
      </c>
      <c r="B76">
        <v>0.86499999999999999</v>
      </c>
    </row>
    <row r="77" spans="1:2" x14ac:dyDescent="0.25">
      <c r="A77">
        <v>44</v>
      </c>
      <c r="B77">
        <v>0.876</v>
      </c>
    </row>
    <row r="78" spans="1:2" x14ac:dyDescent="0.25">
      <c r="A78">
        <v>44.5</v>
      </c>
      <c r="B78">
        <v>0.88600000000000001</v>
      </c>
    </row>
    <row r="79" spans="1:2" x14ac:dyDescent="0.25">
      <c r="A79">
        <v>45</v>
      </c>
      <c r="B79">
        <v>0.89600000000000002</v>
      </c>
    </row>
    <row r="80" spans="1:2" x14ac:dyDescent="0.25">
      <c r="A80">
        <v>45.5</v>
      </c>
      <c r="B80">
        <v>0.90600000000000003</v>
      </c>
    </row>
    <row r="81" spans="1:2" x14ac:dyDescent="0.25">
      <c r="A81">
        <v>46</v>
      </c>
      <c r="B81">
        <v>0.91700000000000004</v>
      </c>
    </row>
    <row r="82" spans="1:2" x14ac:dyDescent="0.25">
      <c r="A82">
        <v>46.5</v>
      </c>
      <c r="B82">
        <v>0.92700000000000005</v>
      </c>
    </row>
    <row r="83" spans="1:2" x14ac:dyDescent="0.25">
      <c r="A83">
        <v>47</v>
      </c>
      <c r="B83">
        <v>0.93799999999999994</v>
      </c>
    </row>
    <row r="84" spans="1:2" x14ac:dyDescent="0.25">
      <c r="A84">
        <v>47.5</v>
      </c>
      <c r="B84">
        <v>0.94799999999999995</v>
      </c>
    </row>
    <row r="85" spans="1:2" x14ac:dyDescent="0.25">
      <c r="A85">
        <v>48</v>
      </c>
      <c r="B85">
        <v>0.95799999999999996</v>
      </c>
    </row>
    <row r="86" spans="1:2" x14ac:dyDescent="0.25">
      <c r="A86">
        <v>48.5</v>
      </c>
      <c r="B86">
        <v>0.96899999999999997</v>
      </c>
    </row>
    <row r="87" spans="1:2" x14ac:dyDescent="0.25">
      <c r="A87">
        <v>49</v>
      </c>
      <c r="B87">
        <v>0.98</v>
      </c>
    </row>
    <row r="88" spans="1:2" x14ac:dyDescent="0.25">
      <c r="A88">
        <v>49.5</v>
      </c>
      <c r="B88">
        <v>0.98899999999999999</v>
      </c>
    </row>
    <row r="89" spans="1:2" x14ac:dyDescent="0.25">
      <c r="A89">
        <v>50</v>
      </c>
      <c r="B89">
        <v>1</v>
      </c>
    </row>
    <row r="90" spans="1:2" x14ac:dyDescent="0.25">
      <c r="A90">
        <v>50.5</v>
      </c>
      <c r="B90">
        <v>1.01</v>
      </c>
    </row>
    <row r="91" spans="1:2" x14ac:dyDescent="0.25">
      <c r="A91">
        <v>51</v>
      </c>
      <c r="B91">
        <v>1.02</v>
      </c>
    </row>
    <row r="92" spans="1:2" x14ac:dyDescent="0.25">
      <c r="A92">
        <v>51.5</v>
      </c>
      <c r="B92">
        <v>1.0309999999999999</v>
      </c>
    </row>
    <row r="93" spans="1:2" x14ac:dyDescent="0.25">
      <c r="A93">
        <v>52</v>
      </c>
      <c r="B93">
        <v>1.042</v>
      </c>
    </row>
    <row r="94" spans="1:2" x14ac:dyDescent="0.25">
      <c r="A94">
        <v>52.5</v>
      </c>
      <c r="B94">
        <v>1.052</v>
      </c>
    </row>
    <row r="95" spans="1:2" x14ac:dyDescent="0.25">
      <c r="A95">
        <v>53</v>
      </c>
      <c r="B95">
        <v>1.0620000000000001</v>
      </c>
    </row>
    <row r="96" spans="1:2" x14ac:dyDescent="0.25">
      <c r="A96">
        <v>53.5</v>
      </c>
      <c r="B96">
        <v>1.073</v>
      </c>
    </row>
    <row r="97" spans="1:2" x14ac:dyDescent="0.25">
      <c r="A97">
        <v>54</v>
      </c>
      <c r="B97">
        <v>1.083</v>
      </c>
    </row>
    <row r="98" spans="1:2" x14ac:dyDescent="0.25">
      <c r="A98">
        <v>54.5</v>
      </c>
      <c r="B98">
        <v>1.0940000000000001</v>
      </c>
    </row>
    <row r="99" spans="1:2" x14ac:dyDescent="0.25">
      <c r="A99">
        <v>55</v>
      </c>
      <c r="B99">
        <v>1.105</v>
      </c>
    </row>
    <row r="100" spans="1:2" x14ac:dyDescent="0.25">
      <c r="A100">
        <v>55.5</v>
      </c>
      <c r="B100">
        <v>1.1140000000000001</v>
      </c>
    </row>
    <row r="101" spans="1:2" x14ac:dyDescent="0.25">
      <c r="A101">
        <v>56</v>
      </c>
      <c r="B101">
        <v>1.125</v>
      </c>
    </row>
    <row r="102" spans="1:2" x14ac:dyDescent="0.25">
      <c r="A102">
        <v>56.5</v>
      </c>
      <c r="B102">
        <v>1.1359999999999999</v>
      </c>
    </row>
    <row r="103" spans="1:2" x14ac:dyDescent="0.25">
      <c r="A103">
        <v>57</v>
      </c>
      <c r="B103">
        <v>1.1459999999999999</v>
      </c>
    </row>
    <row r="104" spans="1:2" x14ac:dyDescent="0.25">
      <c r="A104">
        <v>57.5</v>
      </c>
      <c r="B104">
        <v>1.1559999999999999</v>
      </c>
    </row>
    <row r="105" spans="1:2" x14ac:dyDescent="0.25">
      <c r="A105">
        <v>58</v>
      </c>
      <c r="B105">
        <v>1.167</v>
      </c>
    </row>
    <row r="106" spans="1:2" x14ac:dyDescent="0.25">
      <c r="A106">
        <v>58.5</v>
      </c>
      <c r="B106">
        <v>1.177</v>
      </c>
    </row>
    <row r="107" spans="1:2" x14ac:dyDescent="0.25">
      <c r="A107">
        <v>59</v>
      </c>
      <c r="B107">
        <v>1.1879999999999999</v>
      </c>
    </row>
    <row r="108" spans="1:2" x14ac:dyDescent="0.25">
      <c r="A108">
        <v>59.5</v>
      </c>
      <c r="B108">
        <v>1.1990000000000001</v>
      </c>
    </row>
    <row r="109" spans="1:2" x14ac:dyDescent="0.25">
      <c r="A109">
        <v>60</v>
      </c>
      <c r="B109">
        <v>1.2090000000000001</v>
      </c>
    </row>
    <row r="110" spans="1:2" x14ac:dyDescent="0.25">
      <c r="A110">
        <v>60.5</v>
      </c>
      <c r="B110">
        <v>1.2190000000000001</v>
      </c>
    </row>
    <row r="111" spans="1:2" x14ac:dyDescent="0.25">
      <c r="A111">
        <v>61</v>
      </c>
      <c r="B111">
        <v>1.23</v>
      </c>
    </row>
    <row r="112" spans="1:2" x14ac:dyDescent="0.25">
      <c r="A112">
        <v>61.5</v>
      </c>
      <c r="B112">
        <v>1.24</v>
      </c>
    </row>
    <row r="113" spans="1:2" x14ac:dyDescent="0.25">
      <c r="A113">
        <v>62</v>
      </c>
      <c r="B113">
        <v>1.2509999999999999</v>
      </c>
    </row>
    <row r="114" spans="1:2" x14ac:dyDescent="0.25">
      <c r="A114">
        <v>62.5</v>
      </c>
      <c r="B114">
        <v>1.2609999999999999</v>
      </c>
    </row>
    <row r="115" spans="1:2" x14ac:dyDescent="0.25">
      <c r="A115">
        <v>63</v>
      </c>
      <c r="B115">
        <v>1.272</v>
      </c>
    </row>
    <row r="116" spans="1:2" x14ac:dyDescent="0.25">
      <c r="A116">
        <v>63.5</v>
      </c>
      <c r="B116">
        <v>1.282</v>
      </c>
    </row>
    <row r="117" spans="1:2" x14ac:dyDescent="0.25">
      <c r="A117">
        <v>64</v>
      </c>
      <c r="B117">
        <v>1.292</v>
      </c>
    </row>
    <row r="118" spans="1:2" x14ac:dyDescent="0.25">
      <c r="A118">
        <v>64.5</v>
      </c>
      <c r="B118">
        <v>1.3029999999999999</v>
      </c>
    </row>
    <row r="119" spans="1:2" x14ac:dyDescent="0.25">
      <c r="A119">
        <v>65</v>
      </c>
      <c r="B119">
        <v>1.3140000000000001</v>
      </c>
    </row>
    <row r="120" spans="1:2" x14ac:dyDescent="0.25">
      <c r="A120">
        <v>65.5</v>
      </c>
      <c r="B120">
        <v>1.3240000000000001</v>
      </c>
    </row>
    <row r="121" spans="1:2" x14ac:dyDescent="0.25">
      <c r="A121">
        <v>66</v>
      </c>
      <c r="B121">
        <v>1.335</v>
      </c>
    </row>
    <row r="122" spans="1:2" x14ac:dyDescent="0.25">
      <c r="A122">
        <v>66.5</v>
      </c>
      <c r="B122">
        <v>1.345</v>
      </c>
    </row>
    <row r="123" spans="1:2" x14ac:dyDescent="0.25">
      <c r="A123">
        <v>67</v>
      </c>
      <c r="B123">
        <v>1.355</v>
      </c>
    </row>
    <row r="124" spans="1:2" x14ac:dyDescent="0.25">
      <c r="A124">
        <v>67.5</v>
      </c>
      <c r="B124">
        <v>1.3660000000000001</v>
      </c>
    </row>
    <row r="125" spans="1:2" x14ac:dyDescent="0.25">
      <c r="A125">
        <v>68</v>
      </c>
      <c r="B125">
        <v>1.377</v>
      </c>
    </row>
    <row r="126" spans="1:2" x14ac:dyDescent="0.25">
      <c r="A126">
        <v>68.5</v>
      </c>
      <c r="B126">
        <v>1.387</v>
      </c>
    </row>
    <row r="127" spans="1:2" x14ac:dyDescent="0.25">
      <c r="A127">
        <v>69</v>
      </c>
      <c r="B127">
        <v>1.3979999999999999</v>
      </c>
    </row>
    <row r="128" spans="1:2" x14ac:dyDescent="0.25">
      <c r="A128">
        <v>69.5</v>
      </c>
      <c r="B128">
        <v>1.4079999999999999</v>
      </c>
    </row>
    <row r="129" spans="1:2" x14ac:dyDescent="0.25">
      <c r="A129">
        <v>70</v>
      </c>
      <c r="B129">
        <v>1.419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C942"/>
  <sheetViews>
    <sheetView workbookViewId="0">
      <selection activeCell="D21" sqref="D21"/>
    </sheetView>
  </sheetViews>
  <sheetFormatPr baseColWidth="10" defaultRowHeight="15" x14ac:dyDescent="0.25"/>
  <sheetData>
    <row r="1" spans="1:29" x14ac:dyDescent="0.25">
      <c r="B1" t="s">
        <v>0</v>
      </c>
      <c r="I1" t="s">
        <v>0</v>
      </c>
      <c r="P1" t="s">
        <v>932</v>
      </c>
      <c r="W1" t="s">
        <v>932</v>
      </c>
    </row>
    <row r="2" spans="1:29" x14ac:dyDescent="0.25">
      <c r="B2" t="s">
        <v>1</v>
      </c>
      <c r="C2" t="s">
        <v>2</v>
      </c>
      <c r="D2" t="s">
        <v>3</v>
      </c>
      <c r="E2" t="s">
        <v>944</v>
      </c>
      <c r="F2" t="s">
        <v>4</v>
      </c>
      <c r="G2" t="s">
        <v>945</v>
      </c>
      <c r="H2" t="s">
        <v>5</v>
      </c>
      <c r="I2" t="s">
        <v>6</v>
      </c>
      <c r="J2" t="s">
        <v>7</v>
      </c>
      <c r="K2" t="s">
        <v>8</v>
      </c>
      <c r="L2" t="s">
        <v>946</v>
      </c>
      <c r="M2" t="s">
        <v>9</v>
      </c>
      <c r="N2" t="s">
        <v>947</v>
      </c>
      <c r="O2" t="s">
        <v>10</v>
      </c>
      <c r="P2" t="s">
        <v>1</v>
      </c>
      <c r="Q2" t="s">
        <v>2</v>
      </c>
      <c r="R2" t="s">
        <v>3</v>
      </c>
      <c r="S2" t="s">
        <v>944</v>
      </c>
      <c r="T2" t="s">
        <v>4</v>
      </c>
      <c r="U2" t="s">
        <v>945</v>
      </c>
      <c r="V2" t="s">
        <v>5</v>
      </c>
      <c r="W2" t="s">
        <v>6</v>
      </c>
      <c r="X2" t="s">
        <v>7</v>
      </c>
      <c r="Y2" t="s">
        <v>8</v>
      </c>
      <c r="Z2" t="s">
        <v>946</v>
      </c>
      <c r="AA2" t="s">
        <v>9</v>
      </c>
      <c r="AB2" t="s">
        <v>947</v>
      </c>
      <c r="AC2" t="s">
        <v>10</v>
      </c>
    </row>
    <row r="3" spans="1:29" x14ac:dyDescent="0.25">
      <c r="A3" t="s">
        <v>11</v>
      </c>
      <c r="B3">
        <v>1165</v>
      </c>
      <c r="C3">
        <v>1025</v>
      </c>
      <c r="D3">
        <v>836</v>
      </c>
      <c r="E3">
        <f>ROUND((D3+F3)/2,0)</f>
        <v>713</v>
      </c>
      <c r="F3">
        <v>589</v>
      </c>
      <c r="G3">
        <f>ROUND((F3+H3)/2,0)</f>
        <v>406</v>
      </c>
      <c r="H3">
        <v>223</v>
      </c>
      <c r="I3">
        <v>965</v>
      </c>
      <c r="J3">
        <v>840</v>
      </c>
      <c r="K3">
        <v>678</v>
      </c>
      <c r="L3">
        <f>ROUND((K3+M3)/2,0)</f>
        <v>575</v>
      </c>
      <c r="M3">
        <v>472</v>
      </c>
      <c r="N3">
        <f>ROUND((M3+O3)/2,0)</f>
        <v>324</v>
      </c>
      <c r="O3">
        <v>176</v>
      </c>
      <c r="P3">
        <v>873</v>
      </c>
      <c r="Q3">
        <v>784</v>
      </c>
      <c r="R3">
        <v>654</v>
      </c>
      <c r="S3">
        <f>ROUND((R3+T3)/2,0)</f>
        <v>567</v>
      </c>
      <c r="T3">
        <v>479</v>
      </c>
      <c r="U3">
        <f>ROUND((T3+V3)/2,0)</f>
        <v>337</v>
      </c>
      <c r="V3">
        <v>194</v>
      </c>
      <c r="W3">
        <v>723</v>
      </c>
      <c r="X3">
        <v>643</v>
      </c>
      <c r="Y3">
        <v>530</v>
      </c>
      <c r="Z3">
        <f>ROUND((Y3+AA3)/2,0)</f>
        <v>457</v>
      </c>
      <c r="AA3">
        <v>384</v>
      </c>
      <c r="AB3">
        <f>ROUND((AA3+AC3)/2,0)</f>
        <v>269</v>
      </c>
      <c r="AC3">
        <v>153</v>
      </c>
    </row>
    <row r="4" spans="1:29" x14ac:dyDescent="0.25">
      <c r="A4" t="s">
        <v>12</v>
      </c>
      <c r="B4">
        <v>1053</v>
      </c>
      <c r="C4">
        <v>924</v>
      </c>
      <c r="D4">
        <v>759</v>
      </c>
      <c r="E4">
        <f t="shared" ref="E4:E67" si="0">ROUND((D4+F4)/2,0)</f>
        <v>649</v>
      </c>
      <c r="F4">
        <v>539</v>
      </c>
      <c r="G4">
        <f t="shared" ref="G4:G67" si="1">ROUND((F4+H4)/2,0)</f>
        <v>372</v>
      </c>
      <c r="H4">
        <v>204</v>
      </c>
      <c r="I4">
        <v>918</v>
      </c>
      <c r="J4">
        <v>795</v>
      </c>
      <c r="K4">
        <v>643</v>
      </c>
      <c r="L4">
        <f t="shared" ref="L4:L67" si="2">ROUND((K4+M4)/2,0)</f>
        <v>547</v>
      </c>
      <c r="M4">
        <v>450</v>
      </c>
      <c r="N4">
        <f t="shared" ref="N4:N67" si="3">ROUND((M4+O4)/2,0)</f>
        <v>309</v>
      </c>
      <c r="O4">
        <v>167</v>
      </c>
      <c r="P4">
        <v>789</v>
      </c>
      <c r="Q4">
        <v>707</v>
      </c>
      <c r="R4">
        <v>594</v>
      </c>
      <c r="S4">
        <f t="shared" ref="S4:S67" si="4">ROUND((R4+T4)/2,0)</f>
        <v>516</v>
      </c>
      <c r="T4">
        <v>438</v>
      </c>
      <c r="U4">
        <f t="shared" ref="U4:U67" si="5">ROUND((T4+V4)/2,0)</f>
        <v>308</v>
      </c>
      <c r="V4">
        <v>178</v>
      </c>
      <c r="W4">
        <v>688</v>
      </c>
      <c r="X4">
        <v>608</v>
      </c>
      <c r="Y4">
        <v>504</v>
      </c>
      <c r="Z4">
        <f t="shared" ref="Z4:Z67" si="6">ROUND((Y4+AA4)/2,0)</f>
        <v>435</v>
      </c>
      <c r="AA4">
        <v>366</v>
      </c>
      <c r="AB4">
        <f t="shared" ref="AB4:AB67" si="7">ROUND((AA4+AC4)/2,0)</f>
        <v>256</v>
      </c>
      <c r="AC4">
        <v>146</v>
      </c>
    </row>
    <row r="5" spans="1:29" x14ac:dyDescent="0.25">
      <c r="A5" t="s">
        <v>13</v>
      </c>
      <c r="B5">
        <v>927</v>
      </c>
      <c r="C5">
        <v>820</v>
      </c>
      <c r="D5">
        <v>678</v>
      </c>
      <c r="E5">
        <f t="shared" si="0"/>
        <v>581</v>
      </c>
      <c r="F5">
        <v>484</v>
      </c>
      <c r="G5">
        <f t="shared" si="1"/>
        <v>334</v>
      </c>
      <c r="H5">
        <v>184</v>
      </c>
      <c r="I5">
        <v>864</v>
      </c>
      <c r="J5">
        <v>752</v>
      </c>
      <c r="K5">
        <v>611</v>
      </c>
      <c r="L5">
        <f t="shared" si="2"/>
        <v>520</v>
      </c>
      <c r="M5">
        <v>428</v>
      </c>
      <c r="N5">
        <f t="shared" si="3"/>
        <v>293</v>
      </c>
      <c r="O5">
        <v>158</v>
      </c>
      <c r="P5">
        <v>695</v>
      </c>
      <c r="Q5">
        <v>627</v>
      </c>
      <c r="R5">
        <v>531</v>
      </c>
      <c r="S5">
        <f t="shared" si="4"/>
        <v>462</v>
      </c>
      <c r="T5">
        <v>393</v>
      </c>
      <c r="U5">
        <f t="shared" si="5"/>
        <v>277</v>
      </c>
      <c r="V5">
        <v>160</v>
      </c>
      <c r="W5">
        <v>648</v>
      </c>
      <c r="X5">
        <v>575</v>
      </c>
      <c r="Y5">
        <v>479</v>
      </c>
      <c r="Z5">
        <f t="shared" si="6"/>
        <v>413</v>
      </c>
      <c r="AA5">
        <v>347</v>
      </c>
      <c r="AB5">
        <f t="shared" si="7"/>
        <v>243</v>
      </c>
      <c r="AC5">
        <v>138</v>
      </c>
    </row>
    <row r="6" spans="1:29" x14ac:dyDescent="0.25">
      <c r="A6" t="s">
        <v>14</v>
      </c>
      <c r="B6">
        <v>821</v>
      </c>
      <c r="C6">
        <v>730</v>
      </c>
      <c r="D6">
        <v>589</v>
      </c>
      <c r="E6">
        <f t="shared" si="0"/>
        <v>506</v>
      </c>
      <c r="F6">
        <v>422</v>
      </c>
      <c r="G6">
        <f t="shared" si="1"/>
        <v>292</v>
      </c>
      <c r="H6">
        <v>161</v>
      </c>
      <c r="I6">
        <v>821</v>
      </c>
      <c r="J6">
        <v>730</v>
      </c>
      <c r="K6">
        <v>589</v>
      </c>
      <c r="L6">
        <f t="shared" si="2"/>
        <v>496</v>
      </c>
      <c r="M6">
        <v>403</v>
      </c>
      <c r="N6">
        <f t="shared" si="3"/>
        <v>277</v>
      </c>
      <c r="O6">
        <v>150</v>
      </c>
      <c r="P6">
        <v>616</v>
      </c>
      <c r="Q6">
        <v>558</v>
      </c>
      <c r="R6">
        <v>461</v>
      </c>
      <c r="S6">
        <f t="shared" si="4"/>
        <v>402</v>
      </c>
      <c r="T6">
        <v>343</v>
      </c>
      <c r="U6">
        <f t="shared" si="5"/>
        <v>242</v>
      </c>
      <c r="V6">
        <v>140</v>
      </c>
      <c r="W6">
        <v>616</v>
      </c>
      <c r="X6">
        <v>558</v>
      </c>
      <c r="Y6">
        <v>461</v>
      </c>
      <c r="Z6">
        <f t="shared" si="6"/>
        <v>395</v>
      </c>
      <c r="AA6">
        <v>328</v>
      </c>
      <c r="AB6">
        <f t="shared" si="7"/>
        <v>230</v>
      </c>
      <c r="AC6">
        <v>131</v>
      </c>
    </row>
    <row r="7" spans="1:29" x14ac:dyDescent="0.25">
      <c r="A7" t="s">
        <v>15</v>
      </c>
      <c r="B7">
        <v>766</v>
      </c>
      <c r="C7">
        <v>682</v>
      </c>
      <c r="D7">
        <v>555</v>
      </c>
      <c r="E7">
        <f t="shared" si="0"/>
        <v>473</v>
      </c>
      <c r="F7">
        <v>391</v>
      </c>
      <c r="G7">
        <f t="shared" si="1"/>
        <v>268</v>
      </c>
      <c r="H7">
        <v>145</v>
      </c>
      <c r="I7">
        <v>766</v>
      </c>
      <c r="J7">
        <v>682</v>
      </c>
      <c r="K7">
        <v>555</v>
      </c>
      <c r="L7">
        <f t="shared" si="2"/>
        <v>473</v>
      </c>
      <c r="M7">
        <v>391</v>
      </c>
      <c r="N7">
        <f t="shared" si="3"/>
        <v>268</v>
      </c>
      <c r="O7">
        <v>145</v>
      </c>
      <c r="P7">
        <v>574</v>
      </c>
      <c r="Q7">
        <v>522</v>
      </c>
      <c r="R7">
        <v>434</v>
      </c>
      <c r="S7">
        <f t="shared" si="4"/>
        <v>376</v>
      </c>
      <c r="T7">
        <v>318</v>
      </c>
      <c r="U7">
        <f t="shared" si="5"/>
        <v>222</v>
      </c>
      <c r="V7">
        <v>126</v>
      </c>
      <c r="W7">
        <v>574</v>
      </c>
      <c r="X7">
        <v>522</v>
      </c>
      <c r="Y7">
        <v>434</v>
      </c>
      <c r="Z7">
        <f t="shared" si="6"/>
        <v>376</v>
      </c>
      <c r="AA7">
        <v>318</v>
      </c>
      <c r="AB7">
        <f t="shared" si="7"/>
        <v>222</v>
      </c>
      <c r="AC7">
        <v>126</v>
      </c>
    </row>
    <row r="8" spans="1:29" x14ac:dyDescent="0.25">
      <c r="A8" t="s">
        <v>16</v>
      </c>
      <c r="B8">
        <v>709</v>
      </c>
      <c r="C8">
        <v>636</v>
      </c>
      <c r="D8">
        <v>525</v>
      </c>
      <c r="E8">
        <f t="shared" si="0"/>
        <v>446</v>
      </c>
      <c r="F8">
        <v>367</v>
      </c>
      <c r="G8">
        <f t="shared" si="1"/>
        <v>252</v>
      </c>
      <c r="H8">
        <v>137</v>
      </c>
      <c r="I8">
        <v>709</v>
      </c>
      <c r="J8">
        <v>636</v>
      </c>
      <c r="K8">
        <v>525</v>
      </c>
      <c r="L8">
        <f t="shared" si="2"/>
        <v>446</v>
      </c>
      <c r="M8">
        <v>367</v>
      </c>
      <c r="N8">
        <f t="shared" si="3"/>
        <v>252</v>
      </c>
      <c r="O8">
        <v>137</v>
      </c>
      <c r="P8">
        <v>532</v>
      </c>
      <c r="Q8">
        <v>487</v>
      </c>
      <c r="R8">
        <v>411</v>
      </c>
      <c r="S8">
        <f t="shared" si="4"/>
        <v>355</v>
      </c>
      <c r="T8">
        <v>298</v>
      </c>
      <c r="U8">
        <f t="shared" si="5"/>
        <v>209</v>
      </c>
      <c r="V8">
        <v>119</v>
      </c>
      <c r="W8">
        <v>532</v>
      </c>
      <c r="X8">
        <v>487</v>
      </c>
      <c r="Y8">
        <v>411</v>
      </c>
      <c r="Z8">
        <f t="shared" si="6"/>
        <v>355</v>
      </c>
      <c r="AA8">
        <v>298</v>
      </c>
      <c r="AB8">
        <f t="shared" si="7"/>
        <v>209</v>
      </c>
      <c r="AC8">
        <v>119</v>
      </c>
    </row>
    <row r="9" spans="1:29" x14ac:dyDescent="0.25">
      <c r="A9" t="s">
        <v>17</v>
      </c>
      <c r="B9">
        <v>648</v>
      </c>
      <c r="C9">
        <v>582</v>
      </c>
      <c r="D9">
        <v>483</v>
      </c>
      <c r="E9">
        <f t="shared" si="0"/>
        <v>414</v>
      </c>
      <c r="F9">
        <v>345</v>
      </c>
      <c r="G9">
        <f t="shared" si="1"/>
        <v>235</v>
      </c>
      <c r="H9">
        <v>125</v>
      </c>
      <c r="I9">
        <v>648</v>
      </c>
      <c r="J9">
        <v>582</v>
      </c>
      <c r="K9">
        <v>483</v>
      </c>
      <c r="L9">
        <f t="shared" si="2"/>
        <v>414</v>
      </c>
      <c r="M9">
        <v>345</v>
      </c>
      <c r="N9">
        <f t="shared" si="3"/>
        <v>235</v>
      </c>
      <c r="O9">
        <v>125</v>
      </c>
      <c r="P9">
        <v>485</v>
      </c>
      <c r="Q9">
        <v>446</v>
      </c>
      <c r="R9">
        <v>378</v>
      </c>
      <c r="S9">
        <f t="shared" si="4"/>
        <v>329</v>
      </c>
      <c r="T9">
        <v>280</v>
      </c>
      <c r="U9">
        <f t="shared" si="5"/>
        <v>195</v>
      </c>
      <c r="V9">
        <v>109</v>
      </c>
      <c r="W9">
        <v>485</v>
      </c>
      <c r="X9">
        <v>446</v>
      </c>
      <c r="Y9">
        <v>378</v>
      </c>
      <c r="Z9">
        <f t="shared" si="6"/>
        <v>329</v>
      </c>
      <c r="AA9">
        <v>280</v>
      </c>
      <c r="AB9">
        <f t="shared" si="7"/>
        <v>195</v>
      </c>
      <c r="AC9">
        <v>109</v>
      </c>
    </row>
    <row r="10" spans="1:29" x14ac:dyDescent="0.25">
      <c r="A10" t="s">
        <v>18</v>
      </c>
      <c r="B10">
        <v>1049</v>
      </c>
      <c r="C10">
        <v>918</v>
      </c>
      <c r="D10">
        <v>753</v>
      </c>
      <c r="E10">
        <f t="shared" si="0"/>
        <v>643</v>
      </c>
      <c r="F10">
        <v>533</v>
      </c>
      <c r="G10">
        <f t="shared" si="1"/>
        <v>367</v>
      </c>
      <c r="H10">
        <v>201</v>
      </c>
      <c r="I10">
        <v>917</v>
      </c>
      <c r="J10">
        <v>793</v>
      </c>
      <c r="K10">
        <v>642</v>
      </c>
      <c r="L10">
        <f t="shared" si="2"/>
        <v>545</v>
      </c>
      <c r="M10">
        <v>448</v>
      </c>
      <c r="N10">
        <f t="shared" si="3"/>
        <v>307</v>
      </c>
      <c r="O10">
        <v>166</v>
      </c>
      <c r="P10">
        <v>787</v>
      </c>
      <c r="Q10">
        <v>703</v>
      </c>
      <c r="R10">
        <v>590</v>
      </c>
      <c r="S10">
        <f t="shared" si="4"/>
        <v>512</v>
      </c>
      <c r="T10">
        <v>433</v>
      </c>
      <c r="U10">
        <f t="shared" si="5"/>
        <v>304</v>
      </c>
      <c r="V10">
        <v>175</v>
      </c>
      <c r="W10">
        <v>688</v>
      </c>
      <c r="X10">
        <v>607</v>
      </c>
      <c r="Y10">
        <v>503</v>
      </c>
      <c r="Z10">
        <f t="shared" si="6"/>
        <v>434</v>
      </c>
      <c r="AA10">
        <v>364</v>
      </c>
      <c r="AB10">
        <f t="shared" si="7"/>
        <v>255</v>
      </c>
      <c r="AC10">
        <v>145</v>
      </c>
    </row>
    <row r="11" spans="1:29" x14ac:dyDescent="0.25">
      <c r="A11" t="s">
        <v>19</v>
      </c>
      <c r="B11">
        <v>922</v>
      </c>
      <c r="C11">
        <v>814</v>
      </c>
      <c r="D11">
        <v>672</v>
      </c>
      <c r="E11">
        <f t="shared" si="0"/>
        <v>576</v>
      </c>
      <c r="F11">
        <v>479</v>
      </c>
      <c r="G11">
        <f t="shared" si="1"/>
        <v>330</v>
      </c>
      <c r="H11">
        <v>181</v>
      </c>
      <c r="I11">
        <v>862</v>
      </c>
      <c r="J11">
        <v>749</v>
      </c>
      <c r="K11">
        <v>607</v>
      </c>
      <c r="L11">
        <f t="shared" si="2"/>
        <v>516</v>
      </c>
      <c r="M11">
        <v>425</v>
      </c>
      <c r="N11">
        <f t="shared" si="3"/>
        <v>292</v>
      </c>
      <c r="O11">
        <v>158</v>
      </c>
      <c r="P11">
        <v>691</v>
      </c>
      <c r="Q11">
        <v>622</v>
      </c>
      <c r="R11">
        <v>526</v>
      </c>
      <c r="S11">
        <f t="shared" si="4"/>
        <v>458</v>
      </c>
      <c r="T11">
        <v>389</v>
      </c>
      <c r="U11">
        <f t="shared" si="5"/>
        <v>273</v>
      </c>
      <c r="V11">
        <v>157</v>
      </c>
      <c r="W11">
        <v>646</v>
      </c>
      <c r="X11">
        <v>572</v>
      </c>
      <c r="Y11">
        <v>475</v>
      </c>
      <c r="Z11">
        <f t="shared" si="6"/>
        <v>410</v>
      </c>
      <c r="AA11">
        <v>345</v>
      </c>
      <c r="AB11">
        <f t="shared" si="7"/>
        <v>241</v>
      </c>
      <c r="AC11">
        <v>137</v>
      </c>
    </row>
    <row r="12" spans="1:29" x14ac:dyDescent="0.25">
      <c r="A12" t="s">
        <v>20</v>
      </c>
      <c r="B12">
        <v>816</v>
      </c>
      <c r="C12">
        <v>724</v>
      </c>
      <c r="D12">
        <v>584</v>
      </c>
      <c r="E12">
        <f t="shared" si="0"/>
        <v>502</v>
      </c>
      <c r="F12">
        <v>420</v>
      </c>
      <c r="G12">
        <f t="shared" si="1"/>
        <v>289</v>
      </c>
      <c r="H12">
        <v>158</v>
      </c>
      <c r="I12">
        <v>816</v>
      </c>
      <c r="J12">
        <v>724</v>
      </c>
      <c r="K12">
        <v>584</v>
      </c>
      <c r="L12">
        <f t="shared" si="2"/>
        <v>493</v>
      </c>
      <c r="M12">
        <v>402</v>
      </c>
      <c r="N12">
        <f t="shared" si="3"/>
        <v>275</v>
      </c>
      <c r="O12">
        <v>147</v>
      </c>
      <c r="P12">
        <v>612</v>
      </c>
      <c r="Q12">
        <v>554</v>
      </c>
      <c r="R12">
        <v>457</v>
      </c>
      <c r="S12">
        <f t="shared" si="4"/>
        <v>399</v>
      </c>
      <c r="T12">
        <v>341</v>
      </c>
      <c r="U12">
        <f t="shared" si="5"/>
        <v>240</v>
      </c>
      <c r="V12">
        <v>138</v>
      </c>
      <c r="W12">
        <v>612</v>
      </c>
      <c r="X12">
        <v>554</v>
      </c>
      <c r="Y12">
        <v>457</v>
      </c>
      <c r="Z12">
        <f t="shared" si="6"/>
        <v>392</v>
      </c>
      <c r="AA12">
        <v>327</v>
      </c>
      <c r="AB12">
        <f t="shared" si="7"/>
        <v>228</v>
      </c>
      <c r="AC12">
        <v>129</v>
      </c>
    </row>
    <row r="13" spans="1:29" x14ac:dyDescent="0.25">
      <c r="A13" t="s">
        <v>21</v>
      </c>
      <c r="B13">
        <v>760</v>
      </c>
      <c r="C13">
        <v>677</v>
      </c>
      <c r="D13">
        <v>550</v>
      </c>
      <c r="E13">
        <f t="shared" si="0"/>
        <v>469</v>
      </c>
      <c r="F13">
        <v>387</v>
      </c>
      <c r="G13">
        <f t="shared" si="1"/>
        <v>265</v>
      </c>
      <c r="H13">
        <v>142</v>
      </c>
      <c r="I13">
        <v>760</v>
      </c>
      <c r="J13">
        <v>677</v>
      </c>
      <c r="K13">
        <v>550</v>
      </c>
      <c r="L13">
        <f t="shared" si="2"/>
        <v>469</v>
      </c>
      <c r="M13">
        <v>387</v>
      </c>
      <c r="N13">
        <f t="shared" si="3"/>
        <v>265</v>
      </c>
      <c r="O13">
        <v>142</v>
      </c>
      <c r="P13">
        <v>570</v>
      </c>
      <c r="Q13">
        <v>518</v>
      </c>
      <c r="R13">
        <v>431</v>
      </c>
      <c r="S13">
        <f t="shared" si="4"/>
        <v>373</v>
      </c>
      <c r="T13">
        <v>315</v>
      </c>
      <c r="U13">
        <f t="shared" si="5"/>
        <v>220</v>
      </c>
      <c r="V13">
        <v>124</v>
      </c>
      <c r="W13">
        <v>570</v>
      </c>
      <c r="X13">
        <v>518</v>
      </c>
      <c r="Y13">
        <v>431</v>
      </c>
      <c r="Z13">
        <f t="shared" si="6"/>
        <v>373</v>
      </c>
      <c r="AA13">
        <v>315</v>
      </c>
      <c r="AB13">
        <f t="shared" si="7"/>
        <v>220</v>
      </c>
      <c r="AC13">
        <v>124</v>
      </c>
    </row>
    <row r="14" spans="1:29" x14ac:dyDescent="0.25">
      <c r="A14" t="s">
        <v>22</v>
      </c>
      <c r="B14">
        <v>704</v>
      </c>
      <c r="C14">
        <v>630</v>
      </c>
      <c r="D14">
        <v>520</v>
      </c>
      <c r="E14">
        <f t="shared" si="0"/>
        <v>443</v>
      </c>
      <c r="F14">
        <v>365</v>
      </c>
      <c r="G14">
        <f t="shared" si="1"/>
        <v>251</v>
      </c>
      <c r="H14">
        <v>137</v>
      </c>
      <c r="I14">
        <v>704</v>
      </c>
      <c r="J14">
        <v>630</v>
      </c>
      <c r="K14">
        <v>520</v>
      </c>
      <c r="L14">
        <f t="shared" si="2"/>
        <v>443</v>
      </c>
      <c r="M14">
        <v>365</v>
      </c>
      <c r="N14">
        <f t="shared" si="3"/>
        <v>251</v>
      </c>
      <c r="O14">
        <v>137</v>
      </c>
      <c r="P14">
        <v>528</v>
      </c>
      <c r="Q14">
        <v>482</v>
      </c>
      <c r="R14">
        <v>407</v>
      </c>
      <c r="S14">
        <f t="shared" si="4"/>
        <v>352</v>
      </c>
      <c r="T14">
        <v>296</v>
      </c>
      <c r="U14">
        <f t="shared" si="5"/>
        <v>208</v>
      </c>
      <c r="V14">
        <v>119</v>
      </c>
      <c r="W14">
        <v>528</v>
      </c>
      <c r="X14">
        <v>482</v>
      </c>
      <c r="Y14">
        <v>407</v>
      </c>
      <c r="Z14">
        <f t="shared" si="6"/>
        <v>352</v>
      </c>
      <c r="AA14">
        <v>296</v>
      </c>
      <c r="AB14">
        <f t="shared" si="7"/>
        <v>208</v>
      </c>
      <c r="AC14">
        <v>119</v>
      </c>
    </row>
    <row r="15" spans="1:29" x14ac:dyDescent="0.25">
      <c r="A15" t="s">
        <v>23</v>
      </c>
      <c r="B15">
        <v>645</v>
      </c>
      <c r="C15">
        <v>579</v>
      </c>
      <c r="D15">
        <v>481</v>
      </c>
      <c r="E15">
        <f t="shared" si="0"/>
        <v>412</v>
      </c>
      <c r="F15">
        <v>343</v>
      </c>
      <c r="G15">
        <f t="shared" si="1"/>
        <v>235</v>
      </c>
      <c r="H15">
        <v>126</v>
      </c>
      <c r="I15">
        <v>645</v>
      </c>
      <c r="J15">
        <v>579</v>
      </c>
      <c r="K15">
        <v>481</v>
      </c>
      <c r="L15">
        <f t="shared" si="2"/>
        <v>412</v>
      </c>
      <c r="M15">
        <v>343</v>
      </c>
      <c r="N15">
        <f t="shared" si="3"/>
        <v>235</v>
      </c>
      <c r="O15">
        <v>126</v>
      </c>
      <c r="P15">
        <v>483</v>
      </c>
      <c r="Q15">
        <v>443</v>
      </c>
      <c r="R15">
        <v>376</v>
      </c>
      <c r="S15">
        <f t="shared" si="4"/>
        <v>328</v>
      </c>
      <c r="T15">
        <v>279</v>
      </c>
      <c r="U15">
        <f t="shared" si="5"/>
        <v>194</v>
      </c>
      <c r="V15">
        <v>109</v>
      </c>
      <c r="W15">
        <v>483</v>
      </c>
      <c r="X15">
        <v>443</v>
      </c>
      <c r="Y15">
        <v>376</v>
      </c>
      <c r="Z15">
        <f t="shared" si="6"/>
        <v>328</v>
      </c>
      <c r="AA15">
        <v>279</v>
      </c>
      <c r="AB15">
        <f t="shared" si="7"/>
        <v>194</v>
      </c>
      <c r="AC15">
        <v>109</v>
      </c>
    </row>
    <row r="16" spans="1:29" x14ac:dyDescent="0.25">
      <c r="A16" t="s">
        <v>24</v>
      </c>
      <c r="B16">
        <v>581</v>
      </c>
      <c r="C16">
        <v>525</v>
      </c>
      <c r="D16">
        <v>437</v>
      </c>
      <c r="E16">
        <f t="shared" si="0"/>
        <v>375</v>
      </c>
      <c r="F16">
        <v>313</v>
      </c>
      <c r="G16">
        <f t="shared" si="1"/>
        <v>214</v>
      </c>
      <c r="H16">
        <v>114</v>
      </c>
      <c r="I16">
        <v>581</v>
      </c>
      <c r="J16">
        <v>525</v>
      </c>
      <c r="K16">
        <v>437</v>
      </c>
      <c r="L16">
        <f t="shared" si="2"/>
        <v>375</v>
      </c>
      <c r="M16">
        <v>313</v>
      </c>
      <c r="N16">
        <f t="shared" si="3"/>
        <v>214</v>
      </c>
      <c r="O16">
        <v>114</v>
      </c>
      <c r="P16">
        <v>436</v>
      </c>
      <c r="Q16">
        <v>402</v>
      </c>
      <c r="R16">
        <v>342</v>
      </c>
      <c r="S16">
        <f t="shared" si="4"/>
        <v>299</v>
      </c>
      <c r="T16">
        <v>255</v>
      </c>
      <c r="U16">
        <f t="shared" si="5"/>
        <v>177</v>
      </c>
      <c r="V16">
        <v>99</v>
      </c>
      <c r="W16">
        <v>436</v>
      </c>
      <c r="X16">
        <v>402</v>
      </c>
      <c r="Y16">
        <v>342</v>
      </c>
      <c r="Z16">
        <f t="shared" si="6"/>
        <v>299</v>
      </c>
      <c r="AA16">
        <v>255</v>
      </c>
      <c r="AB16">
        <f t="shared" si="7"/>
        <v>177</v>
      </c>
      <c r="AC16">
        <v>99</v>
      </c>
    </row>
    <row r="17" spans="1:29" x14ac:dyDescent="0.25">
      <c r="A17" t="s">
        <v>25</v>
      </c>
      <c r="B17">
        <v>917</v>
      </c>
      <c r="C17">
        <v>807</v>
      </c>
      <c r="D17">
        <v>665</v>
      </c>
      <c r="E17">
        <f t="shared" si="0"/>
        <v>569</v>
      </c>
      <c r="F17">
        <v>473</v>
      </c>
      <c r="G17">
        <f t="shared" si="1"/>
        <v>325</v>
      </c>
      <c r="H17">
        <v>177</v>
      </c>
      <c r="I17">
        <v>859</v>
      </c>
      <c r="J17">
        <v>745</v>
      </c>
      <c r="K17">
        <v>605</v>
      </c>
      <c r="L17">
        <f t="shared" si="2"/>
        <v>514</v>
      </c>
      <c r="M17">
        <v>423</v>
      </c>
      <c r="N17">
        <f t="shared" si="3"/>
        <v>289</v>
      </c>
      <c r="O17">
        <v>155</v>
      </c>
      <c r="P17">
        <v>688</v>
      </c>
      <c r="Q17">
        <v>617</v>
      </c>
      <c r="R17">
        <v>520</v>
      </c>
      <c r="S17">
        <f t="shared" si="4"/>
        <v>452</v>
      </c>
      <c r="T17">
        <v>384</v>
      </c>
      <c r="U17">
        <f t="shared" si="5"/>
        <v>269</v>
      </c>
      <c r="V17">
        <v>154</v>
      </c>
      <c r="W17">
        <v>644</v>
      </c>
      <c r="X17">
        <v>570</v>
      </c>
      <c r="Y17">
        <v>473</v>
      </c>
      <c r="Z17">
        <f t="shared" si="6"/>
        <v>408</v>
      </c>
      <c r="AA17">
        <v>343</v>
      </c>
      <c r="AB17">
        <f t="shared" si="7"/>
        <v>239</v>
      </c>
      <c r="AC17">
        <v>135</v>
      </c>
    </row>
    <row r="18" spans="1:29" x14ac:dyDescent="0.25">
      <c r="A18" t="s">
        <v>26</v>
      </c>
      <c r="B18">
        <v>810</v>
      </c>
      <c r="C18">
        <v>718</v>
      </c>
      <c r="D18">
        <v>578</v>
      </c>
      <c r="E18">
        <f t="shared" si="0"/>
        <v>497</v>
      </c>
      <c r="F18">
        <v>415</v>
      </c>
      <c r="G18">
        <f t="shared" si="1"/>
        <v>286</v>
      </c>
      <c r="H18">
        <v>156</v>
      </c>
      <c r="I18">
        <v>810</v>
      </c>
      <c r="J18">
        <v>718</v>
      </c>
      <c r="K18">
        <v>578</v>
      </c>
      <c r="L18">
        <f t="shared" si="2"/>
        <v>489</v>
      </c>
      <c r="M18">
        <v>400</v>
      </c>
      <c r="N18">
        <f t="shared" si="3"/>
        <v>274</v>
      </c>
      <c r="O18">
        <v>147</v>
      </c>
      <c r="P18">
        <v>607</v>
      </c>
      <c r="Q18">
        <v>549</v>
      </c>
      <c r="R18">
        <v>453</v>
      </c>
      <c r="S18">
        <f t="shared" si="4"/>
        <v>395</v>
      </c>
      <c r="T18">
        <v>337</v>
      </c>
      <c r="U18">
        <f t="shared" si="5"/>
        <v>237</v>
      </c>
      <c r="V18">
        <v>136</v>
      </c>
      <c r="W18">
        <v>607</v>
      </c>
      <c r="X18">
        <v>549</v>
      </c>
      <c r="Y18">
        <v>453</v>
      </c>
      <c r="Z18">
        <f t="shared" si="6"/>
        <v>389</v>
      </c>
      <c r="AA18">
        <v>325</v>
      </c>
      <c r="AB18">
        <f t="shared" si="7"/>
        <v>227</v>
      </c>
      <c r="AC18">
        <v>128</v>
      </c>
    </row>
    <row r="19" spans="1:29" x14ac:dyDescent="0.25">
      <c r="A19" t="s">
        <v>27</v>
      </c>
      <c r="B19">
        <v>755</v>
      </c>
      <c r="C19">
        <v>671</v>
      </c>
      <c r="D19">
        <v>544</v>
      </c>
      <c r="E19">
        <f t="shared" si="0"/>
        <v>464</v>
      </c>
      <c r="F19">
        <v>384</v>
      </c>
      <c r="G19">
        <f t="shared" si="1"/>
        <v>263</v>
      </c>
      <c r="H19">
        <v>141</v>
      </c>
      <c r="I19">
        <v>755</v>
      </c>
      <c r="J19">
        <v>671</v>
      </c>
      <c r="K19">
        <v>544</v>
      </c>
      <c r="L19">
        <f t="shared" si="2"/>
        <v>464</v>
      </c>
      <c r="M19">
        <v>384</v>
      </c>
      <c r="N19">
        <f t="shared" si="3"/>
        <v>263</v>
      </c>
      <c r="O19">
        <v>141</v>
      </c>
      <c r="P19">
        <v>566</v>
      </c>
      <c r="Q19">
        <v>513</v>
      </c>
      <c r="R19">
        <v>426</v>
      </c>
      <c r="S19">
        <f t="shared" si="4"/>
        <v>369</v>
      </c>
      <c r="T19">
        <v>312</v>
      </c>
      <c r="U19">
        <f t="shared" si="5"/>
        <v>217</v>
      </c>
      <c r="V19">
        <v>122</v>
      </c>
      <c r="W19">
        <v>566</v>
      </c>
      <c r="X19">
        <v>513</v>
      </c>
      <c r="Y19">
        <v>426</v>
      </c>
      <c r="Z19">
        <f t="shared" si="6"/>
        <v>369</v>
      </c>
      <c r="AA19">
        <v>312</v>
      </c>
      <c r="AB19">
        <f t="shared" si="7"/>
        <v>217</v>
      </c>
      <c r="AC19">
        <v>122</v>
      </c>
    </row>
    <row r="20" spans="1:29" x14ac:dyDescent="0.25">
      <c r="A20" t="s">
        <v>28</v>
      </c>
      <c r="B20">
        <v>697</v>
      </c>
      <c r="C20">
        <v>623</v>
      </c>
      <c r="D20">
        <v>515</v>
      </c>
      <c r="E20">
        <f t="shared" si="0"/>
        <v>438</v>
      </c>
      <c r="F20">
        <v>361</v>
      </c>
      <c r="G20">
        <f t="shared" si="1"/>
        <v>248</v>
      </c>
      <c r="H20">
        <v>135</v>
      </c>
      <c r="I20">
        <v>697</v>
      </c>
      <c r="J20">
        <v>623</v>
      </c>
      <c r="K20">
        <v>515</v>
      </c>
      <c r="L20">
        <f t="shared" si="2"/>
        <v>438</v>
      </c>
      <c r="M20">
        <v>361</v>
      </c>
      <c r="N20">
        <f t="shared" si="3"/>
        <v>248</v>
      </c>
      <c r="O20">
        <v>135</v>
      </c>
      <c r="P20">
        <v>523</v>
      </c>
      <c r="Q20">
        <v>477</v>
      </c>
      <c r="R20">
        <v>403</v>
      </c>
      <c r="S20">
        <f t="shared" si="4"/>
        <v>348</v>
      </c>
      <c r="T20">
        <v>293</v>
      </c>
      <c r="U20">
        <f t="shared" si="5"/>
        <v>205</v>
      </c>
      <c r="V20">
        <v>117</v>
      </c>
      <c r="W20">
        <v>523</v>
      </c>
      <c r="X20">
        <v>477</v>
      </c>
      <c r="Y20">
        <v>403</v>
      </c>
      <c r="Z20">
        <f t="shared" si="6"/>
        <v>348</v>
      </c>
      <c r="AA20">
        <v>293</v>
      </c>
      <c r="AB20">
        <f t="shared" si="7"/>
        <v>205</v>
      </c>
      <c r="AC20">
        <v>117</v>
      </c>
    </row>
    <row r="21" spans="1:29" x14ac:dyDescent="0.25">
      <c r="A21" t="s">
        <v>29</v>
      </c>
      <c r="B21">
        <v>640</v>
      </c>
      <c r="C21">
        <v>576</v>
      </c>
      <c r="D21">
        <v>477</v>
      </c>
      <c r="E21">
        <f t="shared" si="0"/>
        <v>409</v>
      </c>
      <c r="F21">
        <v>341</v>
      </c>
      <c r="G21">
        <f t="shared" si="1"/>
        <v>234</v>
      </c>
      <c r="H21">
        <v>126</v>
      </c>
      <c r="I21">
        <v>640</v>
      </c>
      <c r="J21">
        <v>576</v>
      </c>
      <c r="K21">
        <v>477</v>
      </c>
      <c r="L21">
        <f t="shared" si="2"/>
        <v>409</v>
      </c>
      <c r="M21">
        <v>341</v>
      </c>
      <c r="N21">
        <f t="shared" si="3"/>
        <v>234</v>
      </c>
      <c r="O21">
        <v>126</v>
      </c>
      <c r="P21">
        <v>480</v>
      </c>
      <c r="Q21">
        <v>440</v>
      </c>
      <c r="R21">
        <v>374</v>
      </c>
      <c r="S21">
        <f t="shared" si="4"/>
        <v>326</v>
      </c>
      <c r="T21">
        <v>277</v>
      </c>
      <c r="U21">
        <f t="shared" si="5"/>
        <v>193</v>
      </c>
      <c r="V21">
        <v>109</v>
      </c>
      <c r="W21">
        <v>480</v>
      </c>
      <c r="X21">
        <v>440</v>
      </c>
      <c r="Y21">
        <v>374</v>
      </c>
      <c r="Z21">
        <f t="shared" si="6"/>
        <v>326</v>
      </c>
      <c r="AA21">
        <v>277</v>
      </c>
      <c r="AB21">
        <f t="shared" si="7"/>
        <v>193</v>
      </c>
      <c r="AC21">
        <v>109</v>
      </c>
    </row>
    <row r="22" spans="1:29" x14ac:dyDescent="0.25">
      <c r="A22" t="s">
        <v>30</v>
      </c>
      <c r="B22">
        <v>578</v>
      </c>
      <c r="C22">
        <v>522</v>
      </c>
      <c r="D22">
        <v>434</v>
      </c>
      <c r="E22">
        <f t="shared" si="0"/>
        <v>373</v>
      </c>
      <c r="F22">
        <v>312</v>
      </c>
      <c r="G22">
        <f t="shared" si="1"/>
        <v>213</v>
      </c>
      <c r="H22">
        <v>114</v>
      </c>
      <c r="I22">
        <v>578</v>
      </c>
      <c r="J22">
        <v>522</v>
      </c>
      <c r="K22">
        <v>434</v>
      </c>
      <c r="L22">
        <f t="shared" si="2"/>
        <v>373</v>
      </c>
      <c r="M22">
        <v>312</v>
      </c>
      <c r="N22">
        <f t="shared" si="3"/>
        <v>213</v>
      </c>
      <c r="O22">
        <v>114</v>
      </c>
      <c r="P22">
        <v>433</v>
      </c>
      <c r="Q22">
        <v>399</v>
      </c>
      <c r="R22">
        <v>340</v>
      </c>
      <c r="S22">
        <f t="shared" si="4"/>
        <v>297</v>
      </c>
      <c r="T22">
        <v>253</v>
      </c>
      <c r="U22">
        <f t="shared" si="5"/>
        <v>176</v>
      </c>
      <c r="V22">
        <v>99</v>
      </c>
      <c r="W22">
        <v>433</v>
      </c>
      <c r="X22">
        <v>399</v>
      </c>
      <c r="Y22">
        <v>340</v>
      </c>
      <c r="Z22">
        <f t="shared" si="6"/>
        <v>297</v>
      </c>
      <c r="AA22">
        <v>253</v>
      </c>
      <c r="AB22">
        <f t="shared" si="7"/>
        <v>176</v>
      </c>
      <c r="AC22">
        <v>99</v>
      </c>
    </row>
    <row r="23" spans="1:29" x14ac:dyDescent="0.25">
      <c r="A23" t="s">
        <v>31</v>
      </c>
      <c r="B23">
        <v>513</v>
      </c>
      <c r="C23">
        <v>465</v>
      </c>
      <c r="D23">
        <v>389</v>
      </c>
      <c r="E23">
        <f t="shared" si="0"/>
        <v>336</v>
      </c>
      <c r="F23">
        <v>282</v>
      </c>
      <c r="G23">
        <f t="shared" si="1"/>
        <v>192</v>
      </c>
      <c r="H23">
        <v>102</v>
      </c>
      <c r="I23">
        <v>513</v>
      </c>
      <c r="J23">
        <v>465</v>
      </c>
      <c r="K23">
        <v>389</v>
      </c>
      <c r="L23">
        <f t="shared" si="2"/>
        <v>336</v>
      </c>
      <c r="M23">
        <v>282</v>
      </c>
      <c r="N23">
        <f t="shared" si="3"/>
        <v>192</v>
      </c>
      <c r="O23">
        <v>102</v>
      </c>
      <c r="P23">
        <v>385</v>
      </c>
      <c r="Q23">
        <v>356</v>
      </c>
      <c r="R23">
        <v>305</v>
      </c>
      <c r="S23">
        <f t="shared" si="4"/>
        <v>267</v>
      </c>
      <c r="T23">
        <v>229</v>
      </c>
      <c r="U23">
        <f t="shared" si="5"/>
        <v>159</v>
      </c>
      <c r="V23">
        <v>89</v>
      </c>
      <c r="W23">
        <v>385</v>
      </c>
      <c r="X23">
        <v>356</v>
      </c>
      <c r="Y23">
        <v>305</v>
      </c>
      <c r="Z23">
        <f t="shared" si="6"/>
        <v>267</v>
      </c>
      <c r="AA23">
        <v>229</v>
      </c>
      <c r="AB23">
        <f t="shared" si="7"/>
        <v>159</v>
      </c>
      <c r="AC23">
        <v>89</v>
      </c>
    </row>
    <row r="24" spans="1:29" x14ac:dyDescent="0.25">
      <c r="A24" t="s">
        <v>32</v>
      </c>
      <c r="B24">
        <v>805</v>
      </c>
      <c r="C24">
        <v>712</v>
      </c>
      <c r="D24">
        <v>573</v>
      </c>
      <c r="E24">
        <f t="shared" si="0"/>
        <v>490</v>
      </c>
      <c r="F24">
        <v>407</v>
      </c>
      <c r="G24">
        <f t="shared" si="1"/>
        <v>280</v>
      </c>
      <c r="H24">
        <v>152</v>
      </c>
      <c r="I24">
        <v>805</v>
      </c>
      <c r="J24">
        <v>712</v>
      </c>
      <c r="K24">
        <v>573</v>
      </c>
      <c r="L24">
        <f t="shared" si="2"/>
        <v>485</v>
      </c>
      <c r="M24">
        <v>397</v>
      </c>
      <c r="N24">
        <f t="shared" si="3"/>
        <v>271</v>
      </c>
      <c r="O24">
        <v>145</v>
      </c>
      <c r="P24">
        <v>603</v>
      </c>
      <c r="Q24">
        <v>545</v>
      </c>
      <c r="R24">
        <v>449</v>
      </c>
      <c r="S24">
        <f t="shared" si="4"/>
        <v>390</v>
      </c>
      <c r="T24">
        <v>331</v>
      </c>
      <c r="U24">
        <f t="shared" si="5"/>
        <v>232</v>
      </c>
      <c r="V24">
        <v>133</v>
      </c>
      <c r="W24">
        <v>603</v>
      </c>
      <c r="X24">
        <v>545</v>
      </c>
      <c r="Y24">
        <v>449</v>
      </c>
      <c r="Z24">
        <f t="shared" si="6"/>
        <v>386</v>
      </c>
      <c r="AA24">
        <v>323</v>
      </c>
      <c r="AB24">
        <f t="shared" si="7"/>
        <v>225</v>
      </c>
      <c r="AC24">
        <v>127</v>
      </c>
    </row>
    <row r="25" spans="1:29" x14ac:dyDescent="0.25">
      <c r="A25" t="s">
        <v>33</v>
      </c>
      <c r="B25">
        <v>748</v>
      </c>
      <c r="C25">
        <v>666</v>
      </c>
      <c r="D25">
        <v>545</v>
      </c>
      <c r="E25">
        <f t="shared" si="0"/>
        <v>462</v>
      </c>
      <c r="F25">
        <v>379</v>
      </c>
      <c r="G25">
        <f t="shared" si="1"/>
        <v>259</v>
      </c>
      <c r="H25">
        <v>139</v>
      </c>
      <c r="I25">
        <v>748</v>
      </c>
      <c r="J25">
        <v>666</v>
      </c>
      <c r="K25">
        <v>545</v>
      </c>
      <c r="L25">
        <f t="shared" si="2"/>
        <v>462</v>
      </c>
      <c r="M25">
        <v>379</v>
      </c>
      <c r="N25">
        <f t="shared" si="3"/>
        <v>259</v>
      </c>
      <c r="O25">
        <v>139</v>
      </c>
      <c r="P25">
        <v>561</v>
      </c>
      <c r="Q25">
        <v>509</v>
      </c>
      <c r="R25">
        <v>427</v>
      </c>
      <c r="S25">
        <f t="shared" si="4"/>
        <v>367</v>
      </c>
      <c r="T25">
        <v>307</v>
      </c>
      <c r="U25">
        <f t="shared" si="5"/>
        <v>214</v>
      </c>
      <c r="V25">
        <v>121</v>
      </c>
      <c r="W25">
        <v>561</v>
      </c>
      <c r="X25">
        <v>509</v>
      </c>
      <c r="Y25">
        <v>427</v>
      </c>
      <c r="Z25">
        <f t="shared" si="6"/>
        <v>367</v>
      </c>
      <c r="AA25">
        <v>307</v>
      </c>
      <c r="AB25">
        <f t="shared" si="7"/>
        <v>214</v>
      </c>
      <c r="AC25">
        <v>121</v>
      </c>
    </row>
    <row r="26" spans="1:29" x14ac:dyDescent="0.25">
      <c r="A26" t="s">
        <v>34</v>
      </c>
      <c r="B26">
        <v>691</v>
      </c>
      <c r="C26">
        <v>617</v>
      </c>
      <c r="D26">
        <v>508</v>
      </c>
      <c r="E26">
        <f t="shared" si="0"/>
        <v>432</v>
      </c>
      <c r="F26">
        <v>356</v>
      </c>
      <c r="G26">
        <f t="shared" si="1"/>
        <v>244</v>
      </c>
      <c r="H26">
        <v>131</v>
      </c>
      <c r="I26">
        <v>691</v>
      </c>
      <c r="J26">
        <v>617</v>
      </c>
      <c r="K26">
        <v>508</v>
      </c>
      <c r="L26">
        <f t="shared" si="2"/>
        <v>432</v>
      </c>
      <c r="M26">
        <v>356</v>
      </c>
      <c r="N26">
        <f t="shared" si="3"/>
        <v>244</v>
      </c>
      <c r="O26">
        <v>131</v>
      </c>
      <c r="P26">
        <v>518</v>
      </c>
      <c r="Q26">
        <v>472</v>
      </c>
      <c r="R26">
        <v>398</v>
      </c>
      <c r="S26">
        <f t="shared" si="4"/>
        <v>344</v>
      </c>
      <c r="T26">
        <v>289</v>
      </c>
      <c r="U26">
        <f t="shared" si="5"/>
        <v>202</v>
      </c>
      <c r="V26">
        <v>114</v>
      </c>
      <c r="W26">
        <v>518</v>
      </c>
      <c r="X26">
        <v>472</v>
      </c>
      <c r="Y26">
        <v>398</v>
      </c>
      <c r="Z26">
        <f t="shared" si="6"/>
        <v>344</v>
      </c>
      <c r="AA26">
        <v>289</v>
      </c>
      <c r="AB26">
        <f t="shared" si="7"/>
        <v>202</v>
      </c>
      <c r="AC26">
        <v>114</v>
      </c>
    </row>
    <row r="27" spans="1:29" x14ac:dyDescent="0.25">
      <c r="A27" t="s">
        <v>35</v>
      </c>
      <c r="B27">
        <v>634</v>
      </c>
      <c r="C27">
        <v>569</v>
      </c>
      <c r="D27">
        <v>471</v>
      </c>
      <c r="E27">
        <f t="shared" si="0"/>
        <v>404</v>
      </c>
      <c r="F27">
        <v>337</v>
      </c>
      <c r="G27">
        <f t="shared" si="1"/>
        <v>231</v>
      </c>
      <c r="H27">
        <v>124</v>
      </c>
      <c r="I27">
        <v>634</v>
      </c>
      <c r="J27">
        <v>569</v>
      </c>
      <c r="K27">
        <v>471</v>
      </c>
      <c r="L27">
        <f t="shared" si="2"/>
        <v>404</v>
      </c>
      <c r="M27">
        <v>337</v>
      </c>
      <c r="N27">
        <f t="shared" si="3"/>
        <v>231</v>
      </c>
      <c r="O27">
        <v>124</v>
      </c>
      <c r="P27">
        <v>475</v>
      </c>
      <c r="Q27">
        <v>435</v>
      </c>
      <c r="R27">
        <v>369</v>
      </c>
      <c r="S27">
        <f t="shared" si="4"/>
        <v>322</v>
      </c>
      <c r="T27">
        <v>274</v>
      </c>
      <c r="U27">
        <f t="shared" si="5"/>
        <v>191</v>
      </c>
      <c r="V27">
        <v>108</v>
      </c>
      <c r="W27">
        <v>475</v>
      </c>
      <c r="X27">
        <v>435</v>
      </c>
      <c r="Y27">
        <v>369</v>
      </c>
      <c r="Z27">
        <f t="shared" si="6"/>
        <v>322</v>
      </c>
      <c r="AA27">
        <v>274</v>
      </c>
      <c r="AB27">
        <f t="shared" si="7"/>
        <v>191</v>
      </c>
      <c r="AC27">
        <v>108</v>
      </c>
    </row>
    <row r="28" spans="1:29" x14ac:dyDescent="0.25">
      <c r="A28" t="s">
        <v>36</v>
      </c>
      <c r="B28">
        <v>574</v>
      </c>
      <c r="C28">
        <v>519</v>
      </c>
      <c r="D28">
        <v>432</v>
      </c>
      <c r="E28">
        <f t="shared" si="0"/>
        <v>372</v>
      </c>
      <c r="F28">
        <v>311</v>
      </c>
      <c r="G28">
        <f t="shared" si="1"/>
        <v>213</v>
      </c>
      <c r="H28">
        <v>114</v>
      </c>
      <c r="I28">
        <v>574</v>
      </c>
      <c r="J28">
        <v>519</v>
      </c>
      <c r="K28">
        <v>432</v>
      </c>
      <c r="L28">
        <f t="shared" si="2"/>
        <v>372</v>
      </c>
      <c r="M28">
        <v>311</v>
      </c>
      <c r="N28">
        <f t="shared" si="3"/>
        <v>213</v>
      </c>
      <c r="O28">
        <v>114</v>
      </c>
      <c r="P28">
        <v>430</v>
      </c>
      <c r="Q28">
        <v>397</v>
      </c>
      <c r="R28">
        <v>338</v>
      </c>
      <c r="S28">
        <f t="shared" si="4"/>
        <v>296</v>
      </c>
      <c r="T28">
        <v>253</v>
      </c>
      <c r="U28">
        <f t="shared" si="5"/>
        <v>176</v>
      </c>
      <c r="V28">
        <v>99</v>
      </c>
      <c r="W28">
        <v>430</v>
      </c>
      <c r="X28">
        <v>397</v>
      </c>
      <c r="Y28">
        <v>338</v>
      </c>
      <c r="Z28">
        <f t="shared" si="6"/>
        <v>296</v>
      </c>
      <c r="AA28">
        <v>253</v>
      </c>
      <c r="AB28">
        <f t="shared" si="7"/>
        <v>176</v>
      </c>
      <c r="AC28">
        <v>99</v>
      </c>
    </row>
    <row r="29" spans="1:29" x14ac:dyDescent="0.25">
      <c r="A29" t="s">
        <v>37</v>
      </c>
      <c r="B29">
        <v>509</v>
      </c>
      <c r="C29">
        <v>461</v>
      </c>
      <c r="D29">
        <v>387</v>
      </c>
      <c r="E29">
        <f t="shared" si="0"/>
        <v>334</v>
      </c>
      <c r="F29">
        <v>280</v>
      </c>
      <c r="G29">
        <f t="shared" si="1"/>
        <v>191</v>
      </c>
      <c r="H29">
        <v>102</v>
      </c>
      <c r="I29">
        <v>509</v>
      </c>
      <c r="J29">
        <v>461</v>
      </c>
      <c r="K29">
        <v>387</v>
      </c>
      <c r="L29">
        <f t="shared" si="2"/>
        <v>334</v>
      </c>
      <c r="M29">
        <v>280</v>
      </c>
      <c r="N29">
        <f t="shared" si="3"/>
        <v>191</v>
      </c>
      <c r="O29">
        <v>102</v>
      </c>
      <c r="P29">
        <v>381</v>
      </c>
      <c r="Q29">
        <v>353</v>
      </c>
      <c r="R29">
        <v>303</v>
      </c>
      <c r="S29">
        <f t="shared" si="4"/>
        <v>265</v>
      </c>
      <c r="T29">
        <v>227</v>
      </c>
      <c r="U29">
        <f t="shared" si="5"/>
        <v>158</v>
      </c>
      <c r="V29">
        <v>89</v>
      </c>
      <c r="W29">
        <v>381</v>
      </c>
      <c r="X29">
        <v>353</v>
      </c>
      <c r="Y29">
        <v>303</v>
      </c>
      <c r="Z29">
        <f t="shared" si="6"/>
        <v>265</v>
      </c>
      <c r="AA29">
        <v>227</v>
      </c>
      <c r="AB29">
        <f t="shared" si="7"/>
        <v>158</v>
      </c>
      <c r="AC29">
        <v>89</v>
      </c>
    </row>
    <row r="30" spans="1:29" x14ac:dyDescent="0.25">
      <c r="A30" t="s">
        <v>38</v>
      </c>
      <c r="B30">
        <v>441</v>
      </c>
      <c r="C30">
        <v>402</v>
      </c>
      <c r="D30">
        <v>340</v>
      </c>
      <c r="E30">
        <f t="shared" si="0"/>
        <v>294</v>
      </c>
      <c r="F30">
        <v>248</v>
      </c>
      <c r="G30">
        <f t="shared" si="1"/>
        <v>170</v>
      </c>
      <c r="H30">
        <v>92</v>
      </c>
      <c r="I30">
        <v>441</v>
      </c>
      <c r="J30">
        <v>402</v>
      </c>
      <c r="K30">
        <v>340</v>
      </c>
      <c r="L30">
        <f t="shared" si="2"/>
        <v>294</v>
      </c>
      <c r="M30">
        <v>248</v>
      </c>
      <c r="N30">
        <f t="shared" si="3"/>
        <v>170</v>
      </c>
      <c r="O30">
        <v>92</v>
      </c>
      <c r="P30">
        <v>330</v>
      </c>
      <c r="Q30">
        <v>308</v>
      </c>
      <c r="R30">
        <v>266</v>
      </c>
      <c r="S30">
        <f t="shared" si="4"/>
        <v>234</v>
      </c>
      <c r="T30">
        <v>202</v>
      </c>
      <c r="U30">
        <f t="shared" si="5"/>
        <v>141</v>
      </c>
      <c r="V30">
        <v>80</v>
      </c>
      <c r="W30">
        <v>330</v>
      </c>
      <c r="X30">
        <v>308</v>
      </c>
      <c r="Y30">
        <v>266</v>
      </c>
      <c r="Z30">
        <f t="shared" si="6"/>
        <v>234</v>
      </c>
      <c r="AA30">
        <v>202</v>
      </c>
      <c r="AB30">
        <f t="shared" si="7"/>
        <v>141</v>
      </c>
      <c r="AC30">
        <v>80</v>
      </c>
    </row>
    <row r="31" spans="1:29" x14ac:dyDescent="0.25">
      <c r="A31" t="s">
        <v>39</v>
      </c>
      <c r="B31">
        <v>742</v>
      </c>
      <c r="C31">
        <v>659</v>
      </c>
      <c r="D31">
        <v>539</v>
      </c>
      <c r="E31">
        <f t="shared" si="0"/>
        <v>457</v>
      </c>
      <c r="F31">
        <v>374</v>
      </c>
      <c r="G31">
        <f t="shared" si="1"/>
        <v>256</v>
      </c>
      <c r="H31">
        <v>137</v>
      </c>
      <c r="I31">
        <v>742</v>
      </c>
      <c r="J31">
        <v>659</v>
      </c>
      <c r="K31">
        <v>539</v>
      </c>
      <c r="L31">
        <f t="shared" si="2"/>
        <v>457</v>
      </c>
      <c r="M31">
        <v>374</v>
      </c>
      <c r="N31">
        <f t="shared" si="3"/>
        <v>256</v>
      </c>
      <c r="O31">
        <v>137</v>
      </c>
      <c r="P31">
        <v>556</v>
      </c>
      <c r="Q31">
        <v>504</v>
      </c>
      <c r="R31">
        <v>422</v>
      </c>
      <c r="S31">
        <f t="shared" si="4"/>
        <v>363</v>
      </c>
      <c r="T31">
        <v>304</v>
      </c>
      <c r="U31">
        <f t="shared" si="5"/>
        <v>212</v>
      </c>
      <c r="V31">
        <v>119</v>
      </c>
      <c r="W31">
        <v>556</v>
      </c>
      <c r="X31">
        <v>504</v>
      </c>
      <c r="Y31">
        <v>422</v>
      </c>
      <c r="Z31">
        <f t="shared" si="6"/>
        <v>363</v>
      </c>
      <c r="AA31">
        <v>304</v>
      </c>
      <c r="AB31">
        <f t="shared" si="7"/>
        <v>212</v>
      </c>
      <c r="AC31">
        <v>119</v>
      </c>
    </row>
    <row r="32" spans="1:29" x14ac:dyDescent="0.25">
      <c r="A32" t="s">
        <v>40</v>
      </c>
      <c r="B32">
        <v>685</v>
      </c>
      <c r="C32">
        <v>611</v>
      </c>
      <c r="D32">
        <v>503</v>
      </c>
      <c r="E32">
        <f t="shared" si="0"/>
        <v>427</v>
      </c>
      <c r="F32">
        <v>351</v>
      </c>
      <c r="G32">
        <f t="shared" si="1"/>
        <v>240</v>
      </c>
      <c r="H32">
        <v>129</v>
      </c>
      <c r="I32">
        <v>685</v>
      </c>
      <c r="J32">
        <v>611</v>
      </c>
      <c r="K32">
        <v>503</v>
      </c>
      <c r="L32">
        <f t="shared" si="2"/>
        <v>427</v>
      </c>
      <c r="M32">
        <v>351</v>
      </c>
      <c r="N32">
        <f t="shared" si="3"/>
        <v>240</v>
      </c>
      <c r="O32">
        <v>129</v>
      </c>
      <c r="P32">
        <v>514</v>
      </c>
      <c r="Q32">
        <v>467</v>
      </c>
      <c r="R32">
        <v>393</v>
      </c>
      <c r="S32">
        <f t="shared" si="4"/>
        <v>339</v>
      </c>
      <c r="T32">
        <v>285</v>
      </c>
      <c r="U32">
        <f t="shared" si="5"/>
        <v>199</v>
      </c>
      <c r="V32">
        <v>112</v>
      </c>
      <c r="W32">
        <v>514</v>
      </c>
      <c r="X32">
        <v>467</v>
      </c>
      <c r="Y32">
        <v>393</v>
      </c>
      <c r="Z32">
        <f t="shared" si="6"/>
        <v>339</v>
      </c>
      <c r="AA32">
        <v>285</v>
      </c>
      <c r="AB32">
        <f t="shared" si="7"/>
        <v>199</v>
      </c>
      <c r="AC32">
        <v>112</v>
      </c>
    </row>
    <row r="33" spans="1:29" x14ac:dyDescent="0.25">
      <c r="A33" t="s">
        <v>41</v>
      </c>
      <c r="B33">
        <v>627</v>
      </c>
      <c r="C33">
        <v>562</v>
      </c>
      <c r="D33">
        <v>465</v>
      </c>
      <c r="E33">
        <f t="shared" si="0"/>
        <v>399</v>
      </c>
      <c r="F33">
        <v>332</v>
      </c>
      <c r="G33">
        <f t="shared" si="1"/>
        <v>227</v>
      </c>
      <c r="H33">
        <v>122</v>
      </c>
      <c r="I33">
        <v>627</v>
      </c>
      <c r="J33">
        <v>562</v>
      </c>
      <c r="K33">
        <v>465</v>
      </c>
      <c r="L33">
        <f t="shared" si="2"/>
        <v>399</v>
      </c>
      <c r="M33">
        <v>332</v>
      </c>
      <c r="N33">
        <f t="shared" si="3"/>
        <v>227</v>
      </c>
      <c r="O33">
        <v>122</v>
      </c>
      <c r="P33">
        <v>470</v>
      </c>
      <c r="Q33">
        <v>430</v>
      </c>
      <c r="R33">
        <v>364</v>
      </c>
      <c r="S33">
        <f t="shared" si="4"/>
        <v>317</v>
      </c>
      <c r="T33">
        <v>270</v>
      </c>
      <c r="U33">
        <f t="shared" si="5"/>
        <v>189</v>
      </c>
      <c r="V33">
        <v>107</v>
      </c>
      <c r="W33">
        <v>470</v>
      </c>
      <c r="X33">
        <v>430</v>
      </c>
      <c r="Y33">
        <v>364</v>
      </c>
      <c r="Z33">
        <f t="shared" si="6"/>
        <v>317</v>
      </c>
      <c r="AA33">
        <v>270</v>
      </c>
      <c r="AB33">
        <f t="shared" si="7"/>
        <v>189</v>
      </c>
      <c r="AC33">
        <v>107</v>
      </c>
    </row>
    <row r="34" spans="1:29" x14ac:dyDescent="0.25">
      <c r="A34" t="s">
        <v>42</v>
      </c>
      <c r="B34">
        <v>568</v>
      </c>
      <c r="C34">
        <v>512</v>
      </c>
      <c r="D34">
        <v>426</v>
      </c>
      <c r="E34">
        <f t="shared" si="0"/>
        <v>367</v>
      </c>
      <c r="F34">
        <v>307</v>
      </c>
      <c r="G34">
        <f t="shared" si="1"/>
        <v>211</v>
      </c>
      <c r="H34">
        <v>114</v>
      </c>
      <c r="I34">
        <v>568</v>
      </c>
      <c r="J34">
        <v>512</v>
      </c>
      <c r="K34">
        <v>426</v>
      </c>
      <c r="L34">
        <f t="shared" si="2"/>
        <v>367</v>
      </c>
      <c r="M34">
        <v>307</v>
      </c>
      <c r="N34">
        <f t="shared" si="3"/>
        <v>211</v>
      </c>
      <c r="O34">
        <v>114</v>
      </c>
      <c r="P34">
        <v>426</v>
      </c>
      <c r="Q34">
        <v>392</v>
      </c>
      <c r="R34">
        <v>333</v>
      </c>
      <c r="S34">
        <f t="shared" si="4"/>
        <v>292</v>
      </c>
      <c r="T34">
        <v>250</v>
      </c>
      <c r="U34">
        <f t="shared" si="5"/>
        <v>175</v>
      </c>
      <c r="V34">
        <v>99</v>
      </c>
      <c r="W34">
        <v>426</v>
      </c>
      <c r="X34">
        <v>392</v>
      </c>
      <c r="Y34">
        <v>333</v>
      </c>
      <c r="Z34">
        <f t="shared" si="6"/>
        <v>292</v>
      </c>
      <c r="AA34">
        <v>250</v>
      </c>
      <c r="AB34">
        <f t="shared" si="7"/>
        <v>175</v>
      </c>
      <c r="AC34">
        <v>99</v>
      </c>
    </row>
    <row r="35" spans="1:29" x14ac:dyDescent="0.25">
      <c r="A35" t="s">
        <v>43</v>
      </c>
      <c r="B35">
        <v>506</v>
      </c>
      <c r="C35">
        <v>458</v>
      </c>
      <c r="D35">
        <v>384</v>
      </c>
      <c r="E35">
        <f t="shared" si="0"/>
        <v>331</v>
      </c>
      <c r="F35">
        <v>278</v>
      </c>
      <c r="G35">
        <f t="shared" si="1"/>
        <v>190</v>
      </c>
      <c r="H35">
        <v>102</v>
      </c>
      <c r="I35">
        <v>506</v>
      </c>
      <c r="J35">
        <v>458</v>
      </c>
      <c r="K35">
        <v>384</v>
      </c>
      <c r="L35">
        <f t="shared" si="2"/>
        <v>331</v>
      </c>
      <c r="M35">
        <v>278</v>
      </c>
      <c r="N35">
        <f t="shared" si="3"/>
        <v>190</v>
      </c>
      <c r="O35">
        <v>102</v>
      </c>
      <c r="P35">
        <v>379</v>
      </c>
      <c r="Q35">
        <v>351</v>
      </c>
      <c r="R35">
        <v>300</v>
      </c>
      <c r="S35">
        <f t="shared" si="4"/>
        <v>263</v>
      </c>
      <c r="T35">
        <v>226</v>
      </c>
      <c r="U35">
        <f t="shared" si="5"/>
        <v>158</v>
      </c>
      <c r="V35">
        <v>89</v>
      </c>
      <c r="W35">
        <v>379</v>
      </c>
      <c r="X35">
        <v>351</v>
      </c>
      <c r="Y35">
        <v>300</v>
      </c>
      <c r="Z35">
        <f t="shared" si="6"/>
        <v>263</v>
      </c>
      <c r="AA35">
        <v>226</v>
      </c>
      <c r="AB35">
        <f t="shared" si="7"/>
        <v>158</v>
      </c>
      <c r="AC35">
        <v>89</v>
      </c>
    </row>
    <row r="36" spans="1:29" x14ac:dyDescent="0.25">
      <c r="A36" t="s">
        <v>44</v>
      </c>
      <c r="B36">
        <v>437</v>
      </c>
      <c r="C36">
        <v>399</v>
      </c>
      <c r="D36">
        <v>337</v>
      </c>
      <c r="E36">
        <f t="shared" si="0"/>
        <v>292</v>
      </c>
      <c r="F36">
        <v>247</v>
      </c>
      <c r="G36">
        <f t="shared" si="1"/>
        <v>169</v>
      </c>
      <c r="H36">
        <v>91</v>
      </c>
      <c r="I36">
        <v>437</v>
      </c>
      <c r="J36">
        <v>399</v>
      </c>
      <c r="K36">
        <v>337</v>
      </c>
      <c r="L36">
        <f t="shared" si="2"/>
        <v>292</v>
      </c>
      <c r="M36">
        <v>247</v>
      </c>
      <c r="N36">
        <f t="shared" si="3"/>
        <v>169</v>
      </c>
      <c r="O36">
        <v>91</v>
      </c>
      <c r="P36">
        <v>328</v>
      </c>
      <c r="Q36">
        <v>305</v>
      </c>
      <c r="R36">
        <v>264</v>
      </c>
      <c r="S36">
        <f t="shared" si="4"/>
        <v>233</v>
      </c>
      <c r="T36">
        <v>201</v>
      </c>
      <c r="U36">
        <f t="shared" si="5"/>
        <v>140</v>
      </c>
      <c r="V36">
        <v>79</v>
      </c>
      <c r="W36">
        <v>328</v>
      </c>
      <c r="X36">
        <v>305</v>
      </c>
      <c r="Y36">
        <v>264</v>
      </c>
      <c r="Z36">
        <f t="shared" si="6"/>
        <v>233</v>
      </c>
      <c r="AA36">
        <v>201</v>
      </c>
      <c r="AB36">
        <f t="shared" si="7"/>
        <v>140</v>
      </c>
      <c r="AC36">
        <v>79</v>
      </c>
    </row>
    <row r="37" spans="1:29" x14ac:dyDescent="0.25">
      <c r="A37" t="s">
        <v>45</v>
      </c>
      <c r="B37">
        <v>677</v>
      </c>
      <c r="C37">
        <v>603</v>
      </c>
      <c r="D37">
        <v>495</v>
      </c>
      <c r="E37">
        <f t="shared" si="0"/>
        <v>421</v>
      </c>
      <c r="F37">
        <v>346</v>
      </c>
      <c r="G37">
        <f t="shared" si="1"/>
        <v>236</v>
      </c>
      <c r="H37">
        <v>126</v>
      </c>
      <c r="I37">
        <v>677</v>
      </c>
      <c r="J37">
        <v>603</v>
      </c>
      <c r="K37">
        <v>495</v>
      </c>
      <c r="L37">
        <f t="shared" si="2"/>
        <v>421</v>
      </c>
      <c r="M37">
        <v>346</v>
      </c>
      <c r="N37">
        <f t="shared" si="3"/>
        <v>236</v>
      </c>
      <c r="O37">
        <v>126</v>
      </c>
      <c r="P37">
        <v>508</v>
      </c>
      <c r="Q37">
        <v>461</v>
      </c>
      <c r="R37">
        <v>388</v>
      </c>
      <c r="S37">
        <f t="shared" si="4"/>
        <v>335</v>
      </c>
      <c r="T37">
        <v>281</v>
      </c>
      <c r="U37">
        <f t="shared" si="5"/>
        <v>196</v>
      </c>
      <c r="V37">
        <v>110</v>
      </c>
      <c r="W37">
        <v>508</v>
      </c>
      <c r="X37">
        <v>461</v>
      </c>
      <c r="Y37">
        <v>388</v>
      </c>
      <c r="Z37">
        <f t="shared" si="6"/>
        <v>335</v>
      </c>
      <c r="AA37">
        <v>281</v>
      </c>
      <c r="AB37">
        <f t="shared" si="7"/>
        <v>196</v>
      </c>
      <c r="AC37">
        <v>110</v>
      </c>
    </row>
    <row r="38" spans="1:29" x14ac:dyDescent="0.25">
      <c r="A38" t="s">
        <v>46</v>
      </c>
      <c r="B38">
        <v>619</v>
      </c>
      <c r="C38">
        <v>555</v>
      </c>
      <c r="D38">
        <v>459</v>
      </c>
      <c r="E38">
        <f t="shared" si="0"/>
        <v>393</v>
      </c>
      <c r="F38">
        <v>327</v>
      </c>
      <c r="G38">
        <f t="shared" si="1"/>
        <v>224</v>
      </c>
      <c r="H38">
        <v>121</v>
      </c>
      <c r="I38">
        <v>619</v>
      </c>
      <c r="J38">
        <v>555</v>
      </c>
      <c r="K38">
        <v>459</v>
      </c>
      <c r="L38">
        <f t="shared" si="2"/>
        <v>393</v>
      </c>
      <c r="M38">
        <v>327</v>
      </c>
      <c r="N38">
        <f t="shared" si="3"/>
        <v>224</v>
      </c>
      <c r="O38">
        <v>121</v>
      </c>
      <c r="P38">
        <v>464</v>
      </c>
      <c r="Q38">
        <v>425</v>
      </c>
      <c r="R38">
        <v>359</v>
      </c>
      <c r="S38">
        <f t="shared" si="4"/>
        <v>313</v>
      </c>
      <c r="T38">
        <v>266</v>
      </c>
      <c r="U38">
        <f t="shared" si="5"/>
        <v>186</v>
      </c>
      <c r="V38">
        <v>105</v>
      </c>
      <c r="W38">
        <v>464</v>
      </c>
      <c r="X38">
        <v>425</v>
      </c>
      <c r="Y38">
        <v>359</v>
      </c>
      <c r="Z38">
        <f t="shared" si="6"/>
        <v>313</v>
      </c>
      <c r="AA38">
        <v>266</v>
      </c>
      <c r="AB38">
        <f t="shared" si="7"/>
        <v>186</v>
      </c>
      <c r="AC38">
        <v>105</v>
      </c>
    </row>
    <row r="39" spans="1:29" x14ac:dyDescent="0.25">
      <c r="A39" t="s">
        <v>47</v>
      </c>
      <c r="B39">
        <v>561</v>
      </c>
      <c r="C39">
        <v>505</v>
      </c>
      <c r="D39">
        <v>420</v>
      </c>
      <c r="E39">
        <f t="shared" si="0"/>
        <v>361</v>
      </c>
      <c r="F39">
        <v>302</v>
      </c>
      <c r="G39">
        <f t="shared" si="1"/>
        <v>207</v>
      </c>
      <c r="H39">
        <v>111</v>
      </c>
      <c r="I39">
        <v>561</v>
      </c>
      <c r="J39">
        <v>505</v>
      </c>
      <c r="K39">
        <v>420</v>
      </c>
      <c r="L39">
        <f t="shared" si="2"/>
        <v>361</v>
      </c>
      <c r="M39">
        <v>302</v>
      </c>
      <c r="N39">
        <f t="shared" si="3"/>
        <v>207</v>
      </c>
      <c r="O39">
        <v>111</v>
      </c>
      <c r="P39">
        <v>421</v>
      </c>
      <c r="Q39">
        <v>386</v>
      </c>
      <c r="R39">
        <v>329</v>
      </c>
      <c r="S39">
        <f t="shared" si="4"/>
        <v>287</v>
      </c>
      <c r="T39">
        <v>245</v>
      </c>
      <c r="U39">
        <f t="shared" si="5"/>
        <v>171</v>
      </c>
      <c r="V39">
        <v>97</v>
      </c>
      <c r="W39">
        <v>421</v>
      </c>
      <c r="X39">
        <v>386</v>
      </c>
      <c r="Y39">
        <v>329</v>
      </c>
      <c r="Z39">
        <f t="shared" si="6"/>
        <v>287</v>
      </c>
      <c r="AA39">
        <v>245</v>
      </c>
      <c r="AB39">
        <f t="shared" si="7"/>
        <v>171</v>
      </c>
      <c r="AC39">
        <v>97</v>
      </c>
    </row>
    <row r="40" spans="1:29" x14ac:dyDescent="0.25">
      <c r="A40" t="s">
        <v>48</v>
      </c>
      <c r="B40">
        <v>501</v>
      </c>
      <c r="C40">
        <v>454</v>
      </c>
      <c r="D40">
        <v>380</v>
      </c>
      <c r="E40">
        <f t="shared" si="0"/>
        <v>328</v>
      </c>
      <c r="F40">
        <v>276</v>
      </c>
      <c r="G40">
        <f t="shared" si="1"/>
        <v>189</v>
      </c>
      <c r="H40">
        <v>102</v>
      </c>
      <c r="I40">
        <v>501</v>
      </c>
      <c r="J40">
        <v>454</v>
      </c>
      <c r="K40">
        <v>380</v>
      </c>
      <c r="L40">
        <f t="shared" si="2"/>
        <v>328</v>
      </c>
      <c r="M40">
        <v>276</v>
      </c>
      <c r="N40">
        <f t="shared" si="3"/>
        <v>189</v>
      </c>
      <c r="O40">
        <v>102</v>
      </c>
      <c r="P40">
        <v>375</v>
      </c>
      <c r="Q40">
        <v>347</v>
      </c>
      <c r="R40">
        <v>297</v>
      </c>
      <c r="S40">
        <f t="shared" si="4"/>
        <v>261</v>
      </c>
      <c r="T40">
        <v>224</v>
      </c>
      <c r="U40">
        <f t="shared" si="5"/>
        <v>157</v>
      </c>
      <c r="V40">
        <v>89</v>
      </c>
      <c r="W40">
        <v>375</v>
      </c>
      <c r="X40">
        <v>347</v>
      </c>
      <c r="Y40">
        <v>297</v>
      </c>
      <c r="Z40">
        <f t="shared" si="6"/>
        <v>261</v>
      </c>
      <c r="AA40">
        <v>224</v>
      </c>
      <c r="AB40">
        <f t="shared" si="7"/>
        <v>157</v>
      </c>
      <c r="AC40">
        <v>89</v>
      </c>
    </row>
    <row r="41" spans="1:29" x14ac:dyDescent="0.25">
      <c r="A41" t="s">
        <v>49</v>
      </c>
      <c r="B41">
        <v>435</v>
      </c>
      <c r="C41">
        <v>395</v>
      </c>
      <c r="D41">
        <v>333</v>
      </c>
      <c r="E41">
        <f t="shared" si="0"/>
        <v>289</v>
      </c>
      <c r="F41">
        <v>244</v>
      </c>
      <c r="G41">
        <f t="shared" si="1"/>
        <v>168</v>
      </c>
      <c r="H41">
        <v>91</v>
      </c>
      <c r="I41">
        <v>435</v>
      </c>
      <c r="J41">
        <v>395</v>
      </c>
      <c r="K41">
        <v>333</v>
      </c>
      <c r="L41">
        <f t="shared" si="2"/>
        <v>289</v>
      </c>
      <c r="M41">
        <v>244</v>
      </c>
      <c r="N41">
        <f t="shared" si="3"/>
        <v>168</v>
      </c>
      <c r="O41">
        <v>91</v>
      </c>
      <c r="P41">
        <v>326</v>
      </c>
      <c r="Q41">
        <v>302</v>
      </c>
      <c r="R41">
        <v>261</v>
      </c>
      <c r="S41">
        <f t="shared" si="4"/>
        <v>230</v>
      </c>
      <c r="T41">
        <v>199</v>
      </c>
      <c r="U41">
        <f t="shared" si="5"/>
        <v>139</v>
      </c>
      <c r="V41">
        <v>79</v>
      </c>
      <c r="W41">
        <v>326</v>
      </c>
      <c r="X41">
        <v>302</v>
      </c>
      <c r="Y41">
        <v>261</v>
      </c>
      <c r="Z41">
        <f t="shared" si="6"/>
        <v>230</v>
      </c>
      <c r="AA41">
        <v>199</v>
      </c>
      <c r="AB41">
        <f t="shared" si="7"/>
        <v>139</v>
      </c>
      <c r="AC41">
        <v>79</v>
      </c>
    </row>
    <row r="42" spans="1:29" x14ac:dyDescent="0.25">
      <c r="A42" t="s">
        <v>50</v>
      </c>
      <c r="B42">
        <v>612</v>
      </c>
      <c r="C42">
        <v>547</v>
      </c>
      <c r="D42">
        <v>451</v>
      </c>
      <c r="E42">
        <f t="shared" si="0"/>
        <v>387</v>
      </c>
      <c r="F42">
        <v>322</v>
      </c>
      <c r="G42">
        <f t="shared" si="1"/>
        <v>220</v>
      </c>
      <c r="H42">
        <v>118</v>
      </c>
      <c r="I42">
        <v>612</v>
      </c>
      <c r="J42">
        <v>547</v>
      </c>
      <c r="K42">
        <v>451</v>
      </c>
      <c r="L42">
        <f t="shared" si="2"/>
        <v>387</v>
      </c>
      <c r="M42">
        <v>322</v>
      </c>
      <c r="N42">
        <f t="shared" si="3"/>
        <v>220</v>
      </c>
      <c r="O42">
        <v>118</v>
      </c>
      <c r="P42">
        <v>459</v>
      </c>
      <c r="Q42">
        <v>419</v>
      </c>
      <c r="R42">
        <v>353</v>
      </c>
      <c r="S42">
        <f t="shared" si="4"/>
        <v>308</v>
      </c>
      <c r="T42">
        <v>262</v>
      </c>
      <c r="U42">
        <f t="shared" si="5"/>
        <v>183</v>
      </c>
      <c r="V42">
        <v>103</v>
      </c>
      <c r="W42">
        <v>459</v>
      </c>
      <c r="X42">
        <v>419</v>
      </c>
      <c r="Y42">
        <v>353</v>
      </c>
      <c r="Z42">
        <f t="shared" si="6"/>
        <v>308</v>
      </c>
      <c r="AA42">
        <v>262</v>
      </c>
      <c r="AB42">
        <f t="shared" si="7"/>
        <v>183</v>
      </c>
      <c r="AC42">
        <v>103</v>
      </c>
    </row>
    <row r="43" spans="1:29" x14ac:dyDescent="0.25">
      <c r="A43" t="s">
        <v>51</v>
      </c>
      <c r="B43">
        <v>552</v>
      </c>
      <c r="C43">
        <v>497</v>
      </c>
      <c r="D43">
        <v>412</v>
      </c>
      <c r="E43">
        <f t="shared" si="0"/>
        <v>355</v>
      </c>
      <c r="F43">
        <v>297</v>
      </c>
      <c r="G43">
        <f t="shared" si="1"/>
        <v>204</v>
      </c>
      <c r="H43">
        <v>110</v>
      </c>
      <c r="I43">
        <v>552</v>
      </c>
      <c r="J43">
        <v>497</v>
      </c>
      <c r="K43">
        <v>412</v>
      </c>
      <c r="L43">
        <f t="shared" si="2"/>
        <v>355</v>
      </c>
      <c r="M43">
        <v>297</v>
      </c>
      <c r="N43">
        <f t="shared" si="3"/>
        <v>204</v>
      </c>
      <c r="O43">
        <v>110</v>
      </c>
      <c r="P43">
        <v>414</v>
      </c>
      <c r="Q43">
        <v>380</v>
      </c>
      <c r="R43">
        <v>323</v>
      </c>
      <c r="S43">
        <f t="shared" si="4"/>
        <v>282</v>
      </c>
      <c r="T43">
        <v>241</v>
      </c>
      <c r="U43">
        <f t="shared" si="5"/>
        <v>169</v>
      </c>
      <c r="V43">
        <v>96</v>
      </c>
      <c r="W43">
        <v>414</v>
      </c>
      <c r="X43">
        <v>380</v>
      </c>
      <c r="Y43">
        <v>323</v>
      </c>
      <c r="Z43">
        <f t="shared" si="6"/>
        <v>282</v>
      </c>
      <c r="AA43">
        <v>241</v>
      </c>
      <c r="AB43">
        <f t="shared" si="7"/>
        <v>169</v>
      </c>
      <c r="AC43">
        <v>96</v>
      </c>
    </row>
    <row r="44" spans="1:29" x14ac:dyDescent="0.25">
      <c r="A44" t="s">
        <v>52</v>
      </c>
      <c r="B44">
        <v>493</v>
      </c>
      <c r="C44">
        <v>446</v>
      </c>
      <c r="D44">
        <v>374</v>
      </c>
      <c r="E44">
        <f t="shared" si="0"/>
        <v>323</v>
      </c>
      <c r="F44">
        <v>271</v>
      </c>
      <c r="G44">
        <f t="shared" si="1"/>
        <v>187</v>
      </c>
      <c r="H44">
        <v>102</v>
      </c>
      <c r="I44">
        <v>493</v>
      </c>
      <c r="J44">
        <v>446</v>
      </c>
      <c r="K44">
        <v>374</v>
      </c>
      <c r="L44">
        <f t="shared" si="2"/>
        <v>323</v>
      </c>
      <c r="M44">
        <v>271</v>
      </c>
      <c r="N44">
        <f t="shared" si="3"/>
        <v>187</v>
      </c>
      <c r="O44">
        <v>102</v>
      </c>
      <c r="P44">
        <v>370</v>
      </c>
      <c r="Q44">
        <v>341</v>
      </c>
      <c r="R44">
        <v>293</v>
      </c>
      <c r="S44">
        <f t="shared" si="4"/>
        <v>257</v>
      </c>
      <c r="T44">
        <v>220</v>
      </c>
      <c r="U44">
        <f t="shared" si="5"/>
        <v>154</v>
      </c>
      <c r="V44">
        <v>88</v>
      </c>
      <c r="W44">
        <v>370</v>
      </c>
      <c r="X44">
        <v>341</v>
      </c>
      <c r="Y44">
        <v>293</v>
      </c>
      <c r="Z44">
        <f t="shared" si="6"/>
        <v>257</v>
      </c>
      <c r="AA44">
        <v>220</v>
      </c>
      <c r="AB44">
        <f t="shared" si="7"/>
        <v>154</v>
      </c>
      <c r="AC44">
        <v>88</v>
      </c>
    </row>
    <row r="45" spans="1:29" x14ac:dyDescent="0.25">
      <c r="A45" t="s">
        <v>53</v>
      </c>
      <c r="B45">
        <v>429</v>
      </c>
      <c r="C45">
        <v>391</v>
      </c>
      <c r="D45">
        <v>330</v>
      </c>
      <c r="E45">
        <f t="shared" si="0"/>
        <v>286</v>
      </c>
      <c r="F45">
        <v>242</v>
      </c>
      <c r="G45">
        <f t="shared" si="1"/>
        <v>167</v>
      </c>
      <c r="H45">
        <v>91</v>
      </c>
      <c r="I45">
        <v>429</v>
      </c>
      <c r="J45">
        <v>391</v>
      </c>
      <c r="K45">
        <v>330</v>
      </c>
      <c r="L45">
        <f t="shared" si="2"/>
        <v>286</v>
      </c>
      <c r="M45">
        <v>242</v>
      </c>
      <c r="N45">
        <f t="shared" si="3"/>
        <v>167</v>
      </c>
      <c r="O45">
        <v>91</v>
      </c>
      <c r="P45">
        <v>322</v>
      </c>
      <c r="Q45">
        <v>299</v>
      </c>
      <c r="R45">
        <v>258</v>
      </c>
      <c r="S45">
        <f t="shared" si="4"/>
        <v>228</v>
      </c>
      <c r="T45">
        <v>197</v>
      </c>
      <c r="U45">
        <f t="shared" si="5"/>
        <v>138</v>
      </c>
      <c r="V45">
        <v>79</v>
      </c>
      <c r="W45">
        <v>322</v>
      </c>
      <c r="X45">
        <v>299</v>
      </c>
      <c r="Y45">
        <v>258</v>
      </c>
      <c r="Z45">
        <f t="shared" si="6"/>
        <v>228</v>
      </c>
      <c r="AA45">
        <v>197</v>
      </c>
      <c r="AB45">
        <f t="shared" si="7"/>
        <v>138</v>
      </c>
      <c r="AC45">
        <v>79</v>
      </c>
    </row>
    <row r="46" spans="1:29" x14ac:dyDescent="0.25">
      <c r="A46" t="s">
        <v>54</v>
      </c>
      <c r="B46">
        <v>545</v>
      </c>
      <c r="C46">
        <v>489</v>
      </c>
      <c r="D46">
        <v>405</v>
      </c>
      <c r="E46">
        <f t="shared" si="0"/>
        <v>348</v>
      </c>
      <c r="F46">
        <v>291</v>
      </c>
      <c r="G46">
        <f t="shared" si="1"/>
        <v>199</v>
      </c>
      <c r="H46">
        <v>107</v>
      </c>
      <c r="I46">
        <v>545</v>
      </c>
      <c r="J46">
        <v>489</v>
      </c>
      <c r="K46">
        <v>405</v>
      </c>
      <c r="L46">
        <f t="shared" si="2"/>
        <v>348</v>
      </c>
      <c r="M46">
        <v>291</v>
      </c>
      <c r="N46">
        <f t="shared" si="3"/>
        <v>199</v>
      </c>
      <c r="O46">
        <v>107</v>
      </c>
      <c r="P46">
        <v>408</v>
      </c>
      <c r="Q46">
        <v>374</v>
      </c>
      <c r="R46">
        <v>317</v>
      </c>
      <c r="S46">
        <f t="shared" si="4"/>
        <v>277</v>
      </c>
      <c r="T46">
        <v>236</v>
      </c>
      <c r="U46">
        <f t="shared" si="5"/>
        <v>165</v>
      </c>
      <c r="V46">
        <v>94</v>
      </c>
      <c r="W46">
        <v>408</v>
      </c>
      <c r="X46">
        <v>374</v>
      </c>
      <c r="Y46">
        <v>317</v>
      </c>
      <c r="Z46">
        <f t="shared" si="6"/>
        <v>277</v>
      </c>
      <c r="AA46">
        <v>236</v>
      </c>
      <c r="AB46">
        <f t="shared" si="7"/>
        <v>165</v>
      </c>
      <c r="AC46">
        <v>94</v>
      </c>
    </row>
    <row r="47" spans="1:29" x14ac:dyDescent="0.25">
      <c r="A47" t="s">
        <v>55</v>
      </c>
      <c r="B47">
        <v>484</v>
      </c>
      <c r="C47">
        <v>437</v>
      </c>
      <c r="D47">
        <v>366</v>
      </c>
      <c r="E47">
        <f t="shared" si="0"/>
        <v>316</v>
      </c>
      <c r="F47">
        <v>266</v>
      </c>
      <c r="G47">
        <f t="shared" si="1"/>
        <v>183</v>
      </c>
      <c r="H47">
        <v>99</v>
      </c>
      <c r="I47">
        <v>484</v>
      </c>
      <c r="J47">
        <v>437</v>
      </c>
      <c r="K47">
        <v>366</v>
      </c>
      <c r="L47">
        <f t="shared" si="2"/>
        <v>316</v>
      </c>
      <c r="M47">
        <v>266</v>
      </c>
      <c r="N47">
        <f t="shared" si="3"/>
        <v>183</v>
      </c>
      <c r="O47">
        <v>99</v>
      </c>
      <c r="P47">
        <v>363</v>
      </c>
      <c r="Q47">
        <v>335</v>
      </c>
      <c r="R47">
        <v>287</v>
      </c>
      <c r="S47">
        <f t="shared" si="4"/>
        <v>252</v>
      </c>
      <c r="T47">
        <v>216</v>
      </c>
      <c r="U47">
        <f t="shared" si="5"/>
        <v>151</v>
      </c>
      <c r="V47">
        <v>86</v>
      </c>
      <c r="W47">
        <v>363</v>
      </c>
      <c r="X47">
        <v>335</v>
      </c>
      <c r="Y47">
        <v>287</v>
      </c>
      <c r="Z47">
        <f t="shared" si="6"/>
        <v>252</v>
      </c>
      <c r="AA47">
        <v>216</v>
      </c>
      <c r="AB47">
        <f t="shared" si="7"/>
        <v>151</v>
      </c>
      <c r="AC47">
        <v>86</v>
      </c>
    </row>
    <row r="48" spans="1:29" x14ac:dyDescent="0.25">
      <c r="A48" t="s">
        <v>56</v>
      </c>
      <c r="B48">
        <v>423</v>
      </c>
      <c r="C48">
        <v>385</v>
      </c>
      <c r="D48">
        <v>325</v>
      </c>
      <c r="E48">
        <f t="shared" si="0"/>
        <v>282</v>
      </c>
      <c r="F48">
        <v>238</v>
      </c>
      <c r="G48">
        <f t="shared" si="1"/>
        <v>164</v>
      </c>
      <c r="H48">
        <v>90</v>
      </c>
      <c r="I48">
        <v>423</v>
      </c>
      <c r="J48">
        <v>385</v>
      </c>
      <c r="K48">
        <v>325</v>
      </c>
      <c r="L48">
        <f t="shared" si="2"/>
        <v>282</v>
      </c>
      <c r="M48">
        <v>238</v>
      </c>
      <c r="N48">
        <f t="shared" si="3"/>
        <v>164</v>
      </c>
      <c r="O48">
        <v>90</v>
      </c>
      <c r="P48">
        <v>317</v>
      </c>
      <c r="Q48">
        <v>295</v>
      </c>
      <c r="R48">
        <v>254</v>
      </c>
      <c r="S48">
        <f t="shared" si="4"/>
        <v>224</v>
      </c>
      <c r="T48">
        <v>194</v>
      </c>
      <c r="U48">
        <f t="shared" si="5"/>
        <v>136</v>
      </c>
      <c r="V48">
        <v>78</v>
      </c>
      <c r="W48">
        <v>317</v>
      </c>
      <c r="X48">
        <v>295</v>
      </c>
      <c r="Y48">
        <v>254</v>
      </c>
      <c r="Z48">
        <f t="shared" si="6"/>
        <v>224</v>
      </c>
      <c r="AA48">
        <v>194</v>
      </c>
      <c r="AB48">
        <f t="shared" si="7"/>
        <v>136</v>
      </c>
      <c r="AC48">
        <v>78</v>
      </c>
    </row>
    <row r="49" spans="1:29" x14ac:dyDescent="0.25">
      <c r="A49" t="s">
        <v>57</v>
      </c>
      <c r="B49">
        <v>476</v>
      </c>
      <c r="C49">
        <v>429</v>
      </c>
      <c r="D49">
        <v>358</v>
      </c>
      <c r="E49">
        <f t="shared" si="0"/>
        <v>309</v>
      </c>
      <c r="F49">
        <v>260</v>
      </c>
      <c r="G49">
        <f t="shared" si="1"/>
        <v>179</v>
      </c>
      <c r="H49">
        <v>97</v>
      </c>
      <c r="I49">
        <v>476</v>
      </c>
      <c r="J49">
        <v>429</v>
      </c>
      <c r="K49">
        <v>358</v>
      </c>
      <c r="L49">
        <f t="shared" si="2"/>
        <v>309</v>
      </c>
      <c r="M49">
        <v>260</v>
      </c>
      <c r="N49">
        <f t="shared" si="3"/>
        <v>179</v>
      </c>
      <c r="O49">
        <v>97</v>
      </c>
      <c r="P49">
        <v>357</v>
      </c>
      <c r="Q49">
        <v>328</v>
      </c>
      <c r="R49">
        <v>280</v>
      </c>
      <c r="S49">
        <f t="shared" si="4"/>
        <v>246</v>
      </c>
      <c r="T49">
        <v>211</v>
      </c>
      <c r="U49">
        <f t="shared" si="5"/>
        <v>148</v>
      </c>
      <c r="V49">
        <v>84</v>
      </c>
      <c r="W49">
        <v>357</v>
      </c>
      <c r="X49">
        <v>328</v>
      </c>
      <c r="Y49">
        <v>280</v>
      </c>
      <c r="Z49">
        <f t="shared" si="6"/>
        <v>246</v>
      </c>
      <c r="AA49">
        <v>211</v>
      </c>
      <c r="AB49">
        <f t="shared" si="7"/>
        <v>148</v>
      </c>
      <c r="AC49">
        <v>84</v>
      </c>
    </row>
    <row r="50" spans="1:29" x14ac:dyDescent="0.25">
      <c r="A50" t="s">
        <v>58</v>
      </c>
      <c r="B50">
        <v>415</v>
      </c>
      <c r="C50">
        <v>376</v>
      </c>
      <c r="D50">
        <v>316</v>
      </c>
      <c r="E50">
        <f t="shared" si="0"/>
        <v>274</v>
      </c>
      <c r="F50">
        <v>232</v>
      </c>
      <c r="G50">
        <f t="shared" si="1"/>
        <v>160</v>
      </c>
      <c r="H50">
        <v>87</v>
      </c>
      <c r="I50">
        <v>415</v>
      </c>
      <c r="J50">
        <v>376</v>
      </c>
      <c r="K50">
        <v>316</v>
      </c>
      <c r="L50">
        <f t="shared" si="2"/>
        <v>274</v>
      </c>
      <c r="M50">
        <v>232</v>
      </c>
      <c r="N50">
        <f t="shared" si="3"/>
        <v>160</v>
      </c>
      <c r="O50">
        <v>87</v>
      </c>
      <c r="P50">
        <v>311</v>
      </c>
      <c r="Q50">
        <v>288</v>
      </c>
      <c r="R50">
        <v>248</v>
      </c>
      <c r="S50">
        <f t="shared" si="4"/>
        <v>218</v>
      </c>
      <c r="T50">
        <v>188</v>
      </c>
      <c r="U50">
        <f t="shared" si="5"/>
        <v>132</v>
      </c>
      <c r="V50">
        <v>76</v>
      </c>
      <c r="W50">
        <v>311</v>
      </c>
      <c r="X50">
        <v>288</v>
      </c>
      <c r="Y50">
        <v>248</v>
      </c>
      <c r="Z50">
        <f t="shared" si="6"/>
        <v>218</v>
      </c>
      <c r="AA50">
        <v>188</v>
      </c>
      <c r="AB50">
        <f t="shared" si="7"/>
        <v>132</v>
      </c>
      <c r="AC50">
        <v>76</v>
      </c>
    </row>
    <row r="51" spans="1:29" x14ac:dyDescent="0.25">
      <c r="A51" t="s">
        <v>59</v>
      </c>
      <c r="B51">
        <v>405</v>
      </c>
      <c r="C51">
        <v>367</v>
      </c>
      <c r="D51">
        <v>308</v>
      </c>
      <c r="E51">
        <f t="shared" si="0"/>
        <v>267</v>
      </c>
      <c r="F51">
        <v>226</v>
      </c>
      <c r="G51">
        <f t="shared" si="1"/>
        <v>156</v>
      </c>
      <c r="H51">
        <v>85</v>
      </c>
      <c r="I51">
        <v>405</v>
      </c>
      <c r="J51">
        <v>367</v>
      </c>
      <c r="K51">
        <v>308</v>
      </c>
      <c r="L51">
        <f t="shared" si="2"/>
        <v>267</v>
      </c>
      <c r="M51">
        <v>226</v>
      </c>
      <c r="N51">
        <f t="shared" si="3"/>
        <v>156</v>
      </c>
      <c r="O51">
        <v>85</v>
      </c>
      <c r="P51">
        <v>303</v>
      </c>
      <c r="Q51">
        <v>281</v>
      </c>
      <c r="R51">
        <v>241</v>
      </c>
      <c r="S51">
        <f t="shared" si="4"/>
        <v>212</v>
      </c>
      <c r="T51">
        <v>183</v>
      </c>
      <c r="U51">
        <f t="shared" si="5"/>
        <v>129</v>
      </c>
      <c r="V51">
        <v>74</v>
      </c>
      <c r="W51">
        <v>303</v>
      </c>
      <c r="X51">
        <v>281</v>
      </c>
      <c r="Y51">
        <v>241</v>
      </c>
      <c r="Z51">
        <f t="shared" si="6"/>
        <v>212</v>
      </c>
      <c r="AA51">
        <v>183</v>
      </c>
      <c r="AB51">
        <f t="shared" si="7"/>
        <v>129</v>
      </c>
      <c r="AC51">
        <v>74</v>
      </c>
    </row>
    <row r="52" spans="1:29" x14ac:dyDescent="0.25">
      <c r="A52" t="s">
        <v>60</v>
      </c>
      <c r="B52">
        <v>337</v>
      </c>
      <c r="C52">
        <v>303</v>
      </c>
      <c r="D52">
        <v>257</v>
      </c>
      <c r="E52">
        <f t="shared" si="0"/>
        <v>223</v>
      </c>
      <c r="F52">
        <v>189</v>
      </c>
      <c r="G52">
        <f t="shared" si="1"/>
        <v>131</v>
      </c>
      <c r="H52">
        <v>73</v>
      </c>
      <c r="I52">
        <v>337</v>
      </c>
      <c r="J52">
        <v>303</v>
      </c>
      <c r="K52">
        <v>257</v>
      </c>
      <c r="L52">
        <f t="shared" si="2"/>
        <v>223</v>
      </c>
      <c r="M52">
        <v>189</v>
      </c>
      <c r="N52">
        <f t="shared" si="3"/>
        <v>131</v>
      </c>
      <c r="O52">
        <v>73</v>
      </c>
      <c r="P52">
        <v>253</v>
      </c>
      <c r="Q52">
        <v>232</v>
      </c>
      <c r="R52">
        <v>201</v>
      </c>
      <c r="S52">
        <f t="shared" si="4"/>
        <v>178</v>
      </c>
      <c r="T52">
        <v>154</v>
      </c>
      <c r="U52">
        <f t="shared" si="5"/>
        <v>109</v>
      </c>
      <c r="V52">
        <v>64</v>
      </c>
      <c r="W52">
        <v>253</v>
      </c>
      <c r="X52">
        <v>232</v>
      </c>
      <c r="Y52">
        <v>201</v>
      </c>
      <c r="Z52">
        <f t="shared" si="6"/>
        <v>178</v>
      </c>
      <c r="AA52">
        <v>154</v>
      </c>
      <c r="AB52">
        <f t="shared" si="7"/>
        <v>109</v>
      </c>
      <c r="AC52">
        <v>64</v>
      </c>
    </row>
    <row r="53" spans="1:29" x14ac:dyDescent="0.25">
      <c r="A53" t="s">
        <v>61</v>
      </c>
      <c r="B53">
        <v>268</v>
      </c>
      <c r="C53">
        <v>251</v>
      </c>
      <c r="D53">
        <v>210</v>
      </c>
      <c r="E53">
        <f t="shared" si="0"/>
        <v>184</v>
      </c>
      <c r="F53">
        <v>158</v>
      </c>
      <c r="G53">
        <f t="shared" si="1"/>
        <v>110</v>
      </c>
      <c r="H53">
        <v>62</v>
      </c>
      <c r="I53">
        <v>268</v>
      </c>
      <c r="J53">
        <v>251</v>
      </c>
      <c r="K53">
        <v>210</v>
      </c>
      <c r="L53">
        <f t="shared" si="2"/>
        <v>184</v>
      </c>
      <c r="M53">
        <v>158</v>
      </c>
      <c r="N53">
        <f t="shared" si="3"/>
        <v>110</v>
      </c>
      <c r="O53">
        <v>62</v>
      </c>
      <c r="P53">
        <v>201</v>
      </c>
      <c r="Q53">
        <v>192</v>
      </c>
      <c r="R53">
        <v>165</v>
      </c>
      <c r="S53">
        <f t="shared" si="4"/>
        <v>147</v>
      </c>
      <c r="T53">
        <v>128</v>
      </c>
      <c r="U53">
        <f t="shared" si="5"/>
        <v>91</v>
      </c>
      <c r="V53">
        <v>54</v>
      </c>
      <c r="W53">
        <v>201</v>
      </c>
      <c r="X53">
        <v>192</v>
      </c>
      <c r="Y53">
        <v>165</v>
      </c>
      <c r="Z53">
        <f t="shared" si="6"/>
        <v>147</v>
      </c>
      <c r="AA53">
        <v>128</v>
      </c>
      <c r="AB53">
        <f t="shared" si="7"/>
        <v>91</v>
      </c>
      <c r="AC53">
        <v>54</v>
      </c>
    </row>
    <row r="54" spans="1:29" x14ac:dyDescent="0.25">
      <c r="A54" t="s">
        <v>62</v>
      </c>
      <c r="B54">
        <v>192</v>
      </c>
      <c r="C54">
        <v>180</v>
      </c>
      <c r="D54">
        <v>158</v>
      </c>
      <c r="E54">
        <f t="shared" si="0"/>
        <v>139</v>
      </c>
      <c r="F54">
        <v>119</v>
      </c>
      <c r="G54">
        <f t="shared" si="1"/>
        <v>84</v>
      </c>
      <c r="H54">
        <v>48</v>
      </c>
      <c r="I54">
        <v>192</v>
      </c>
      <c r="J54">
        <v>180</v>
      </c>
      <c r="K54">
        <v>158</v>
      </c>
      <c r="L54">
        <f t="shared" si="2"/>
        <v>139</v>
      </c>
      <c r="M54">
        <v>119</v>
      </c>
      <c r="N54">
        <f t="shared" si="3"/>
        <v>84</v>
      </c>
      <c r="O54">
        <v>48</v>
      </c>
      <c r="P54">
        <v>144</v>
      </c>
      <c r="Q54">
        <v>138</v>
      </c>
      <c r="R54">
        <v>124</v>
      </c>
      <c r="S54">
        <f t="shared" si="4"/>
        <v>111</v>
      </c>
      <c r="T54">
        <v>97</v>
      </c>
      <c r="U54">
        <f t="shared" si="5"/>
        <v>70</v>
      </c>
      <c r="V54">
        <v>42</v>
      </c>
      <c r="W54">
        <v>144</v>
      </c>
      <c r="X54">
        <v>138</v>
      </c>
      <c r="Y54">
        <v>124</v>
      </c>
      <c r="Z54">
        <f t="shared" si="6"/>
        <v>111</v>
      </c>
      <c r="AA54">
        <v>97</v>
      </c>
      <c r="AB54">
        <f t="shared" si="7"/>
        <v>70</v>
      </c>
      <c r="AC54">
        <v>42</v>
      </c>
    </row>
    <row r="55" spans="1:29" x14ac:dyDescent="0.25">
      <c r="A55" t="s">
        <v>63</v>
      </c>
      <c r="B55">
        <v>258</v>
      </c>
      <c r="C55">
        <v>240</v>
      </c>
      <c r="D55">
        <v>202</v>
      </c>
      <c r="E55">
        <f t="shared" si="0"/>
        <v>177</v>
      </c>
      <c r="F55">
        <v>152</v>
      </c>
      <c r="G55">
        <f t="shared" si="1"/>
        <v>106</v>
      </c>
      <c r="H55">
        <v>60</v>
      </c>
      <c r="I55">
        <v>258</v>
      </c>
      <c r="J55">
        <v>240</v>
      </c>
      <c r="K55">
        <v>202</v>
      </c>
      <c r="L55">
        <f t="shared" si="2"/>
        <v>177</v>
      </c>
      <c r="M55">
        <v>152</v>
      </c>
      <c r="N55">
        <f t="shared" si="3"/>
        <v>106</v>
      </c>
      <c r="O55">
        <v>60</v>
      </c>
      <c r="P55">
        <v>194</v>
      </c>
      <c r="Q55">
        <v>184</v>
      </c>
      <c r="R55">
        <v>158</v>
      </c>
      <c r="S55">
        <f t="shared" si="4"/>
        <v>141</v>
      </c>
      <c r="T55">
        <v>123</v>
      </c>
      <c r="U55">
        <f t="shared" si="5"/>
        <v>88</v>
      </c>
      <c r="V55">
        <v>52</v>
      </c>
      <c r="W55">
        <v>194</v>
      </c>
      <c r="X55">
        <v>184</v>
      </c>
      <c r="Y55">
        <v>158</v>
      </c>
      <c r="Z55">
        <f t="shared" si="6"/>
        <v>141</v>
      </c>
      <c r="AA55">
        <v>123</v>
      </c>
      <c r="AB55">
        <f t="shared" si="7"/>
        <v>88</v>
      </c>
      <c r="AC55">
        <v>52</v>
      </c>
    </row>
    <row r="56" spans="1:29" x14ac:dyDescent="0.25">
      <c r="A56" t="s">
        <v>64</v>
      </c>
      <c r="B56">
        <v>187</v>
      </c>
      <c r="C56">
        <v>175</v>
      </c>
      <c r="D56">
        <v>153</v>
      </c>
      <c r="E56">
        <f t="shared" si="0"/>
        <v>137</v>
      </c>
      <c r="F56">
        <v>120</v>
      </c>
      <c r="G56">
        <f t="shared" si="1"/>
        <v>84</v>
      </c>
      <c r="H56">
        <v>47</v>
      </c>
      <c r="I56">
        <v>187</v>
      </c>
      <c r="J56">
        <v>175</v>
      </c>
      <c r="K56">
        <v>153</v>
      </c>
      <c r="L56">
        <f t="shared" si="2"/>
        <v>137</v>
      </c>
      <c r="M56">
        <v>120</v>
      </c>
      <c r="N56">
        <f t="shared" si="3"/>
        <v>84</v>
      </c>
      <c r="O56">
        <v>47</v>
      </c>
      <c r="P56">
        <v>140</v>
      </c>
      <c r="Q56">
        <v>134</v>
      </c>
      <c r="R56">
        <v>120</v>
      </c>
      <c r="S56">
        <f t="shared" si="4"/>
        <v>109</v>
      </c>
      <c r="T56">
        <v>98</v>
      </c>
      <c r="U56">
        <f t="shared" si="5"/>
        <v>70</v>
      </c>
      <c r="V56">
        <v>41</v>
      </c>
      <c r="W56">
        <v>140</v>
      </c>
      <c r="X56">
        <v>134</v>
      </c>
      <c r="Y56">
        <v>120</v>
      </c>
      <c r="Z56">
        <f t="shared" si="6"/>
        <v>109</v>
      </c>
      <c r="AA56">
        <v>98</v>
      </c>
      <c r="AB56">
        <f t="shared" si="7"/>
        <v>70</v>
      </c>
      <c r="AC56">
        <v>41</v>
      </c>
    </row>
    <row r="57" spans="1:29" x14ac:dyDescent="0.25">
      <c r="A57" t="s">
        <v>65</v>
      </c>
      <c r="B57">
        <v>180</v>
      </c>
      <c r="C57">
        <v>167</v>
      </c>
      <c r="D57">
        <v>147</v>
      </c>
      <c r="E57">
        <f t="shared" si="0"/>
        <v>131</v>
      </c>
      <c r="F57">
        <v>115</v>
      </c>
      <c r="G57">
        <f t="shared" si="1"/>
        <v>80</v>
      </c>
      <c r="H57">
        <v>45</v>
      </c>
      <c r="I57">
        <v>180</v>
      </c>
      <c r="J57">
        <v>167</v>
      </c>
      <c r="K57">
        <v>147</v>
      </c>
      <c r="L57">
        <f t="shared" si="2"/>
        <v>131</v>
      </c>
      <c r="M57">
        <v>115</v>
      </c>
      <c r="N57">
        <f t="shared" si="3"/>
        <v>80</v>
      </c>
      <c r="O57">
        <v>45</v>
      </c>
      <c r="P57">
        <v>135</v>
      </c>
      <c r="Q57">
        <v>128</v>
      </c>
      <c r="R57">
        <v>115</v>
      </c>
      <c r="S57">
        <f t="shared" si="4"/>
        <v>105</v>
      </c>
      <c r="T57">
        <v>94</v>
      </c>
      <c r="U57">
        <f t="shared" si="5"/>
        <v>67</v>
      </c>
      <c r="V57">
        <v>39</v>
      </c>
      <c r="W57">
        <v>135</v>
      </c>
      <c r="X57">
        <v>128</v>
      </c>
      <c r="Y57">
        <v>115</v>
      </c>
      <c r="Z57">
        <f t="shared" si="6"/>
        <v>105</v>
      </c>
      <c r="AA57">
        <v>94</v>
      </c>
      <c r="AB57">
        <f t="shared" si="7"/>
        <v>67</v>
      </c>
      <c r="AC57">
        <v>39</v>
      </c>
    </row>
    <row r="58" spans="1:29" x14ac:dyDescent="0.25">
      <c r="A58" t="s">
        <v>66</v>
      </c>
      <c r="B58">
        <v>1290</v>
      </c>
      <c r="C58">
        <v>1132</v>
      </c>
      <c r="D58">
        <v>921</v>
      </c>
      <c r="E58">
        <f t="shared" si="0"/>
        <v>785</v>
      </c>
      <c r="F58">
        <v>648</v>
      </c>
      <c r="G58">
        <f t="shared" si="1"/>
        <v>447</v>
      </c>
      <c r="H58">
        <v>246</v>
      </c>
      <c r="I58">
        <v>1018</v>
      </c>
      <c r="J58">
        <v>883</v>
      </c>
      <c r="K58">
        <v>712</v>
      </c>
      <c r="L58">
        <f t="shared" si="2"/>
        <v>604</v>
      </c>
      <c r="M58">
        <v>496</v>
      </c>
      <c r="N58">
        <f t="shared" si="3"/>
        <v>341</v>
      </c>
      <c r="O58">
        <v>186</v>
      </c>
      <c r="P58">
        <v>967</v>
      </c>
      <c r="Q58">
        <v>866</v>
      </c>
      <c r="R58">
        <v>721</v>
      </c>
      <c r="S58">
        <f t="shared" si="4"/>
        <v>624</v>
      </c>
      <c r="T58">
        <v>527</v>
      </c>
      <c r="U58">
        <f t="shared" si="5"/>
        <v>371</v>
      </c>
      <c r="V58">
        <v>215</v>
      </c>
      <c r="W58">
        <v>763</v>
      </c>
      <c r="X58">
        <v>676</v>
      </c>
      <c r="Y58">
        <v>557</v>
      </c>
      <c r="Z58">
        <f t="shared" si="6"/>
        <v>481</v>
      </c>
      <c r="AA58">
        <v>404</v>
      </c>
      <c r="AB58">
        <f t="shared" si="7"/>
        <v>284</v>
      </c>
      <c r="AC58">
        <v>163</v>
      </c>
    </row>
    <row r="59" spans="1:29" x14ac:dyDescent="0.25">
      <c r="A59" t="s">
        <v>67</v>
      </c>
      <c r="B59">
        <v>1172</v>
      </c>
      <c r="C59">
        <v>1033</v>
      </c>
      <c r="D59">
        <v>846</v>
      </c>
      <c r="E59">
        <f t="shared" si="0"/>
        <v>722</v>
      </c>
      <c r="F59">
        <v>598</v>
      </c>
      <c r="G59">
        <f t="shared" si="1"/>
        <v>413</v>
      </c>
      <c r="H59">
        <v>227</v>
      </c>
      <c r="I59">
        <v>964</v>
      </c>
      <c r="J59">
        <v>839</v>
      </c>
      <c r="K59">
        <v>679</v>
      </c>
      <c r="L59">
        <f t="shared" si="2"/>
        <v>577</v>
      </c>
      <c r="M59">
        <v>474</v>
      </c>
      <c r="N59">
        <f t="shared" si="3"/>
        <v>326</v>
      </c>
      <c r="O59">
        <v>177</v>
      </c>
      <c r="P59">
        <v>879</v>
      </c>
      <c r="Q59">
        <v>791</v>
      </c>
      <c r="R59">
        <v>662</v>
      </c>
      <c r="S59">
        <f t="shared" si="4"/>
        <v>574</v>
      </c>
      <c r="T59">
        <v>486</v>
      </c>
      <c r="U59">
        <f t="shared" si="5"/>
        <v>342</v>
      </c>
      <c r="V59">
        <v>198</v>
      </c>
      <c r="W59">
        <v>723</v>
      </c>
      <c r="X59">
        <v>643</v>
      </c>
      <c r="Y59">
        <v>532</v>
      </c>
      <c r="Z59">
        <f t="shared" si="6"/>
        <v>459</v>
      </c>
      <c r="AA59">
        <v>385</v>
      </c>
      <c r="AB59">
        <f t="shared" si="7"/>
        <v>270</v>
      </c>
      <c r="AC59">
        <v>154</v>
      </c>
    </row>
    <row r="60" spans="1:29" x14ac:dyDescent="0.25">
      <c r="A60" t="s">
        <v>68</v>
      </c>
      <c r="B60">
        <v>1059</v>
      </c>
      <c r="C60">
        <v>931</v>
      </c>
      <c r="D60">
        <v>767</v>
      </c>
      <c r="E60">
        <f t="shared" si="0"/>
        <v>656</v>
      </c>
      <c r="F60">
        <v>545</v>
      </c>
      <c r="G60">
        <f t="shared" si="1"/>
        <v>376</v>
      </c>
      <c r="H60">
        <v>207</v>
      </c>
      <c r="I60">
        <v>919</v>
      </c>
      <c r="J60">
        <v>797</v>
      </c>
      <c r="K60">
        <v>646</v>
      </c>
      <c r="L60">
        <f t="shared" si="2"/>
        <v>549</v>
      </c>
      <c r="M60">
        <v>451</v>
      </c>
      <c r="N60">
        <f t="shared" si="3"/>
        <v>310</v>
      </c>
      <c r="O60">
        <v>168</v>
      </c>
      <c r="P60">
        <v>794</v>
      </c>
      <c r="Q60">
        <v>712</v>
      </c>
      <c r="R60">
        <v>600</v>
      </c>
      <c r="S60">
        <f t="shared" si="4"/>
        <v>522</v>
      </c>
      <c r="T60">
        <v>443</v>
      </c>
      <c r="U60">
        <f t="shared" si="5"/>
        <v>312</v>
      </c>
      <c r="V60">
        <v>180</v>
      </c>
      <c r="W60">
        <v>689</v>
      </c>
      <c r="X60">
        <v>609</v>
      </c>
      <c r="Y60">
        <v>506</v>
      </c>
      <c r="Z60">
        <f t="shared" si="6"/>
        <v>437</v>
      </c>
      <c r="AA60">
        <v>367</v>
      </c>
      <c r="AB60">
        <f t="shared" si="7"/>
        <v>257</v>
      </c>
      <c r="AC60">
        <v>146</v>
      </c>
    </row>
    <row r="61" spans="1:29" x14ac:dyDescent="0.25">
      <c r="A61" t="s">
        <v>69</v>
      </c>
      <c r="B61">
        <v>929</v>
      </c>
      <c r="C61">
        <v>822</v>
      </c>
      <c r="D61">
        <v>682</v>
      </c>
      <c r="E61">
        <f t="shared" si="0"/>
        <v>585</v>
      </c>
      <c r="F61">
        <v>488</v>
      </c>
      <c r="G61">
        <f t="shared" si="1"/>
        <v>337</v>
      </c>
      <c r="H61">
        <v>185</v>
      </c>
      <c r="I61">
        <v>864</v>
      </c>
      <c r="J61">
        <v>750</v>
      </c>
      <c r="K61">
        <v>611</v>
      </c>
      <c r="L61">
        <f t="shared" si="2"/>
        <v>520</v>
      </c>
      <c r="M61">
        <v>429</v>
      </c>
      <c r="N61">
        <f t="shared" si="3"/>
        <v>294</v>
      </c>
      <c r="O61">
        <v>158</v>
      </c>
      <c r="P61">
        <v>696</v>
      </c>
      <c r="Q61">
        <v>629</v>
      </c>
      <c r="R61">
        <v>534</v>
      </c>
      <c r="S61">
        <f t="shared" si="4"/>
        <v>465</v>
      </c>
      <c r="T61">
        <v>396</v>
      </c>
      <c r="U61">
        <f t="shared" si="5"/>
        <v>279</v>
      </c>
      <c r="V61">
        <v>161</v>
      </c>
      <c r="W61">
        <v>648</v>
      </c>
      <c r="X61">
        <v>574</v>
      </c>
      <c r="Y61">
        <v>479</v>
      </c>
      <c r="Z61">
        <f t="shared" si="6"/>
        <v>414</v>
      </c>
      <c r="AA61">
        <v>348</v>
      </c>
      <c r="AB61">
        <f t="shared" si="7"/>
        <v>243</v>
      </c>
      <c r="AC61">
        <v>138</v>
      </c>
    </row>
    <row r="62" spans="1:29" x14ac:dyDescent="0.25">
      <c r="A62" t="s">
        <v>70</v>
      </c>
      <c r="B62">
        <v>827</v>
      </c>
      <c r="C62">
        <v>735</v>
      </c>
      <c r="D62">
        <v>592</v>
      </c>
      <c r="E62">
        <f t="shared" si="0"/>
        <v>505</v>
      </c>
      <c r="F62">
        <v>417</v>
      </c>
      <c r="G62">
        <f t="shared" si="1"/>
        <v>286</v>
      </c>
      <c r="H62">
        <v>154</v>
      </c>
      <c r="I62">
        <v>827</v>
      </c>
      <c r="J62">
        <v>735</v>
      </c>
      <c r="K62">
        <v>592</v>
      </c>
      <c r="L62">
        <f t="shared" si="2"/>
        <v>505</v>
      </c>
      <c r="M62">
        <v>417</v>
      </c>
      <c r="N62">
        <f t="shared" si="3"/>
        <v>286</v>
      </c>
      <c r="O62">
        <v>154</v>
      </c>
      <c r="P62">
        <v>620</v>
      </c>
      <c r="Q62">
        <v>562</v>
      </c>
      <c r="R62">
        <v>464</v>
      </c>
      <c r="S62">
        <f t="shared" si="4"/>
        <v>402</v>
      </c>
      <c r="T62">
        <v>339</v>
      </c>
      <c r="U62">
        <f t="shared" si="5"/>
        <v>237</v>
      </c>
      <c r="V62">
        <v>134</v>
      </c>
      <c r="W62">
        <v>620</v>
      </c>
      <c r="X62">
        <v>562</v>
      </c>
      <c r="Y62">
        <v>464</v>
      </c>
      <c r="Z62">
        <f t="shared" si="6"/>
        <v>402</v>
      </c>
      <c r="AA62">
        <v>339</v>
      </c>
      <c r="AB62">
        <f t="shared" si="7"/>
        <v>237</v>
      </c>
      <c r="AC62">
        <v>134</v>
      </c>
    </row>
    <row r="63" spans="1:29" x14ac:dyDescent="0.25">
      <c r="A63" t="s">
        <v>71</v>
      </c>
      <c r="B63">
        <v>772</v>
      </c>
      <c r="C63">
        <v>688</v>
      </c>
      <c r="D63">
        <v>559</v>
      </c>
      <c r="E63">
        <f t="shared" si="0"/>
        <v>477</v>
      </c>
      <c r="F63">
        <v>394</v>
      </c>
      <c r="G63">
        <f t="shared" si="1"/>
        <v>271</v>
      </c>
      <c r="H63">
        <v>147</v>
      </c>
      <c r="I63">
        <v>772</v>
      </c>
      <c r="J63">
        <v>688</v>
      </c>
      <c r="K63">
        <v>559</v>
      </c>
      <c r="L63">
        <f t="shared" si="2"/>
        <v>477</v>
      </c>
      <c r="M63">
        <v>394</v>
      </c>
      <c r="N63">
        <f t="shared" si="3"/>
        <v>271</v>
      </c>
      <c r="O63">
        <v>147</v>
      </c>
      <c r="P63">
        <v>578</v>
      </c>
      <c r="Q63">
        <v>527</v>
      </c>
      <c r="R63">
        <v>437</v>
      </c>
      <c r="S63">
        <f t="shared" si="4"/>
        <v>379</v>
      </c>
      <c r="T63">
        <v>320</v>
      </c>
      <c r="U63">
        <f t="shared" si="5"/>
        <v>224</v>
      </c>
      <c r="V63">
        <v>128</v>
      </c>
      <c r="W63">
        <v>578</v>
      </c>
      <c r="X63">
        <v>527</v>
      </c>
      <c r="Y63">
        <v>437</v>
      </c>
      <c r="Z63">
        <f t="shared" si="6"/>
        <v>379</v>
      </c>
      <c r="AA63">
        <v>320</v>
      </c>
      <c r="AB63">
        <f t="shared" si="7"/>
        <v>224</v>
      </c>
      <c r="AC63">
        <v>128</v>
      </c>
    </row>
    <row r="64" spans="1:29" x14ac:dyDescent="0.25">
      <c r="A64" t="s">
        <v>72</v>
      </c>
      <c r="B64">
        <v>713</v>
      </c>
      <c r="C64">
        <v>640</v>
      </c>
      <c r="D64">
        <v>527</v>
      </c>
      <c r="E64">
        <f t="shared" si="0"/>
        <v>451</v>
      </c>
      <c r="F64">
        <v>374</v>
      </c>
      <c r="G64">
        <f t="shared" si="1"/>
        <v>256</v>
      </c>
      <c r="H64">
        <v>137</v>
      </c>
      <c r="I64">
        <v>713</v>
      </c>
      <c r="J64">
        <v>640</v>
      </c>
      <c r="K64">
        <v>527</v>
      </c>
      <c r="L64">
        <f t="shared" si="2"/>
        <v>451</v>
      </c>
      <c r="M64">
        <v>374</v>
      </c>
      <c r="N64">
        <f t="shared" si="3"/>
        <v>256</v>
      </c>
      <c r="O64">
        <v>137</v>
      </c>
      <c r="P64">
        <v>535</v>
      </c>
      <c r="Q64">
        <v>489</v>
      </c>
      <c r="R64">
        <v>413</v>
      </c>
      <c r="S64">
        <f t="shared" si="4"/>
        <v>359</v>
      </c>
      <c r="T64">
        <v>304</v>
      </c>
      <c r="U64">
        <f t="shared" si="5"/>
        <v>212</v>
      </c>
      <c r="V64">
        <v>119</v>
      </c>
      <c r="W64">
        <v>535</v>
      </c>
      <c r="X64">
        <v>489</v>
      </c>
      <c r="Y64">
        <v>413</v>
      </c>
      <c r="Z64">
        <f t="shared" si="6"/>
        <v>359</v>
      </c>
      <c r="AA64">
        <v>304</v>
      </c>
      <c r="AB64">
        <f t="shared" si="7"/>
        <v>212</v>
      </c>
      <c r="AC64">
        <v>119</v>
      </c>
    </row>
    <row r="65" spans="1:29" x14ac:dyDescent="0.25">
      <c r="A65" t="s">
        <v>73</v>
      </c>
      <c r="B65">
        <v>1169</v>
      </c>
      <c r="C65">
        <v>1028</v>
      </c>
      <c r="D65">
        <v>840</v>
      </c>
      <c r="E65">
        <f t="shared" si="0"/>
        <v>717</v>
      </c>
      <c r="F65">
        <v>593</v>
      </c>
      <c r="G65">
        <f t="shared" si="1"/>
        <v>409</v>
      </c>
      <c r="H65">
        <v>224</v>
      </c>
      <c r="I65">
        <v>963</v>
      </c>
      <c r="J65">
        <v>838</v>
      </c>
      <c r="K65">
        <v>677</v>
      </c>
      <c r="L65">
        <f t="shared" si="2"/>
        <v>574</v>
      </c>
      <c r="M65">
        <v>471</v>
      </c>
      <c r="N65">
        <f t="shared" si="3"/>
        <v>324</v>
      </c>
      <c r="O65">
        <v>176</v>
      </c>
      <c r="P65">
        <v>876</v>
      </c>
      <c r="Q65">
        <v>787</v>
      </c>
      <c r="R65">
        <v>657</v>
      </c>
      <c r="S65">
        <f t="shared" si="4"/>
        <v>570</v>
      </c>
      <c r="T65">
        <v>482</v>
      </c>
      <c r="U65">
        <f t="shared" si="5"/>
        <v>339</v>
      </c>
      <c r="V65">
        <v>195</v>
      </c>
      <c r="W65">
        <v>722</v>
      </c>
      <c r="X65">
        <v>641</v>
      </c>
      <c r="Y65">
        <v>529</v>
      </c>
      <c r="Z65">
        <f t="shared" si="6"/>
        <v>456</v>
      </c>
      <c r="AA65">
        <v>383</v>
      </c>
      <c r="AB65">
        <f t="shared" si="7"/>
        <v>268</v>
      </c>
      <c r="AC65">
        <v>153</v>
      </c>
    </row>
    <row r="66" spans="1:29" x14ac:dyDescent="0.25">
      <c r="A66" t="s">
        <v>74</v>
      </c>
      <c r="B66">
        <v>1053</v>
      </c>
      <c r="C66">
        <v>926</v>
      </c>
      <c r="D66">
        <v>761</v>
      </c>
      <c r="E66">
        <f t="shared" si="0"/>
        <v>651</v>
      </c>
      <c r="F66">
        <v>540</v>
      </c>
      <c r="G66">
        <f t="shared" si="1"/>
        <v>373</v>
      </c>
      <c r="H66">
        <v>205</v>
      </c>
      <c r="I66">
        <v>916</v>
      </c>
      <c r="J66">
        <v>795</v>
      </c>
      <c r="K66">
        <v>644</v>
      </c>
      <c r="L66">
        <f t="shared" si="2"/>
        <v>547</v>
      </c>
      <c r="M66">
        <v>449</v>
      </c>
      <c r="N66">
        <f t="shared" si="3"/>
        <v>309</v>
      </c>
      <c r="O66">
        <v>168</v>
      </c>
      <c r="P66">
        <v>790</v>
      </c>
      <c r="Q66">
        <v>708</v>
      </c>
      <c r="R66">
        <v>596</v>
      </c>
      <c r="S66">
        <f t="shared" si="4"/>
        <v>518</v>
      </c>
      <c r="T66">
        <v>439</v>
      </c>
      <c r="U66">
        <f t="shared" si="5"/>
        <v>309</v>
      </c>
      <c r="V66">
        <v>178</v>
      </c>
      <c r="W66">
        <v>687</v>
      </c>
      <c r="X66">
        <v>608</v>
      </c>
      <c r="Y66">
        <v>504</v>
      </c>
      <c r="Z66">
        <f t="shared" si="6"/>
        <v>435</v>
      </c>
      <c r="AA66">
        <v>365</v>
      </c>
      <c r="AB66">
        <f t="shared" si="7"/>
        <v>255</v>
      </c>
      <c r="AC66">
        <v>145</v>
      </c>
    </row>
    <row r="67" spans="1:29" x14ac:dyDescent="0.25">
      <c r="A67" t="s">
        <v>75</v>
      </c>
      <c r="B67">
        <v>925</v>
      </c>
      <c r="C67">
        <v>818</v>
      </c>
      <c r="D67">
        <v>677</v>
      </c>
      <c r="E67">
        <f t="shared" si="0"/>
        <v>581</v>
      </c>
      <c r="F67">
        <v>484</v>
      </c>
      <c r="G67">
        <f t="shared" si="1"/>
        <v>334</v>
      </c>
      <c r="H67">
        <v>183</v>
      </c>
      <c r="I67">
        <v>863</v>
      </c>
      <c r="J67">
        <v>750</v>
      </c>
      <c r="K67">
        <v>610</v>
      </c>
      <c r="L67">
        <f t="shared" si="2"/>
        <v>518</v>
      </c>
      <c r="M67">
        <v>426</v>
      </c>
      <c r="N67">
        <f t="shared" si="3"/>
        <v>292</v>
      </c>
      <c r="O67">
        <v>158</v>
      </c>
      <c r="P67">
        <v>693</v>
      </c>
      <c r="Q67">
        <v>626</v>
      </c>
      <c r="R67">
        <v>530</v>
      </c>
      <c r="S67">
        <f t="shared" si="4"/>
        <v>462</v>
      </c>
      <c r="T67">
        <v>393</v>
      </c>
      <c r="U67">
        <f t="shared" si="5"/>
        <v>277</v>
      </c>
      <c r="V67">
        <v>160</v>
      </c>
      <c r="W67">
        <v>647</v>
      </c>
      <c r="X67">
        <v>574</v>
      </c>
      <c r="Y67">
        <v>478</v>
      </c>
      <c r="Z67">
        <f t="shared" si="6"/>
        <v>412</v>
      </c>
      <c r="AA67">
        <v>346</v>
      </c>
      <c r="AB67">
        <f t="shared" si="7"/>
        <v>242</v>
      </c>
      <c r="AC67">
        <v>138</v>
      </c>
    </row>
    <row r="68" spans="1:29" x14ac:dyDescent="0.25">
      <c r="A68" t="s">
        <v>76</v>
      </c>
      <c r="B68">
        <v>821</v>
      </c>
      <c r="C68">
        <v>730</v>
      </c>
      <c r="D68">
        <v>588</v>
      </c>
      <c r="E68">
        <f t="shared" ref="E68:E131" si="8">ROUND((D68+F68)/2,0)</f>
        <v>503</v>
      </c>
      <c r="F68">
        <v>417</v>
      </c>
      <c r="G68">
        <f t="shared" ref="G68:G131" si="9">ROUND((F68+H68)/2,0)</f>
        <v>289</v>
      </c>
      <c r="H68">
        <v>160</v>
      </c>
      <c r="I68">
        <v>821</v>
      </c>
      <c r="J68">
        <v>730</v>
      </c>
      <c r="K68">
        <v>588</v>
      </c>
      <c r="L68">
        <f t="shared" ref="L68:L131" si="10">ROUND((K68+M68)/2,0)</f>
        <v>491</v>
      </c>
      <c r="M68">
        <v>393</v>
      </c>
      <c r="N68">
        <f t="shared" ref="N68:N131" si="11">ROUND((M68+O68)/2,0)</f>
        <v>271</v>
      </c>
      <c r="O68">
        <v>149</v>
      </c>
      <c r="P68">
        <v>616</v>
      </c>
      <c r="Q68">
        <v>558</v>
      </c>
      <c r="R68">
        <v>460</v>
      </c>
      <c r="S68">
        <f t="shared" ref="S68:S131" si="12">ROUND((R68+T68)/2,0)</f>
        <v>400</v>
      </c>
      <c r="T68">
        <v>339</v>
      </c>
      <c r="U68">
        <f t="shared" ref="U68:U131" si="13">ROUND((T68+V68)/2,0)</f>
        <v>239</v>
      </c>
      <c r="V68">
        <v>139</v>
      </c>
      <c r="W68">
        <v>616</v>
      </c>
      <c r="X68">
        <v>558</v>
      </c>
      <c r="Y68">
        <v>460</v>
      </c>
      <c r="Z68">
        <f t="shared" ref="Z68:Z131" si="14">ROUND((Y68+AA68)/2,0)</f>
        <v>390</v>
      </c>
      <c r="AA68">
        <v>320</v>
      </c>
      <c r="AB68">
        <f t="shared" ref="AB68:AB131" si="15">ROUND((AA68+AC68)/2,0)</f>
        <v>225</v>
      </c>
      <c r="AC68">
        <v>130</v>
      </c>
    </row>
    <row r="69" spans="1:29" x14ac:dyDescent="0.25">
      <c r="A69" t="s">
        <v>77</v>
      </c>
      <c r="B69">
        <v>766</v>
      </c>
      <c r="C69">
        <v>684</v>
      </c>
      <c r="D69">
        <v>555</v>
      </c>
      <c r="E69">
        <f t="shared" si="8"/>
        <v>473</v>
      </c>
      <c r="F69">
        <v>391</v>
      </c>
      <c r="G69">
        <f t="shared" si="9"/>
        <v>266</v>
      </c>
      <c r="H69">
        <v>141</v>
      </c>
      <c r="I69">
        <v>766</v>
      </c>
      <c r="J69">
        <v>684</v>
      </c>
      <c r="K69">
        <v>555</v>
      </c>
      <c r="L69">
        <f t="shared" si="10"/>
        <v>473</v>
      </c>
      <c r="M69">
        <v>391</v>
      </c>
      <c r="N69">
        <f t="shared" si="11"/>
        <v>266</v>
      </c>
      <c r="O69">
        <v>141</v>
      </c>
      <c r="P69">
        <v>574</v>
      </c>
      <c r="Q69">
        <v>523</v>
      </c>
      <c r="R69">
        <v>434</v>
      </c>
      <c r="S69">
        <f t="shared" si="12"/>
        <v>376</v>
      </c>
      <c r="T69">
        <v>318</v>
      </c>
      <c r="U69">
        <f t="shared" si="13"/>
        <v>221</v>
      </c>
      <c r="V69">
        <v>123</v>
      </c>
      <c r="W69">
        <v>574</v>
      </c>
      <c r="X69">
        <v>523</v>
      </c>
      <c r="Y69">
        <v>434</v>
      </c>
      <c r="Z69">
        <f t="shared" si="14"/>
        <v>376</v>
      </c>
      <c r="AA69">
        <v>318</v>
      </c>
      <c r="AB69">
        <f t="shared" si="15"/>
        <v>221</v>
      </c>
      <c r="AC69">
        <v>123</v>
      </c>
    </row>
    <row r="70" spans="1:29" x14ac:dyDescent="0.25">
      <c r="A70" t="s">
        <v>78</v>
      </c>
      <c r="B70">
        <v>710</v>
      </c>
      <c r="C70">
        <v>636</v>
      </c>
      <c r="D70">
        <v>525</v>
      </c>
      <c r="E70">
        <f t="shared" si="8"/>
        <v>446</v>
      </c>
      <c r="F70">
        <v>367</v>
      </c>
      <c r="G70">
        <f t="shared" si="9"/>
        <v>252</v>
      </c>
      <c r="H70">
        <v>137</v>
      </c>
      <c r="I70">
        <v>710</v>
      </c>
      <c r="J70">
        <v>636</v>
      </c>
      <c r="K70">
        <v>525</v>
      </c>
      <c r="L70">
        <f t="shared" si="10"/>
        <v>446</v>
      </c>
      <c r="M70">
        <v>367</v>
      </c>
      <c r="N70">
        <f t="shared" si="11"/>
        <v>252</v>
      </c>
      <c r="O70">
        <v>137</v>
      </c>
      <c r="P70">
        <v>532</v>
      </c>
      <c r="Q70">
        <v>487</v>
      </c>
      <c r="R70">
        <v>411</v>
      </c>
      <c r="S70">
        <f t="shared" si="12"/>
        <v>355</v>
      </c>
      <c r="T70">
        <v>298</v>
      </c>
      <c r="U70">
        <f t="shared" si="13"/>
        <v>209</v>
      </c>
      <c r="V70">
        <v>119</v>
      </c>
      <c r="W70">
        <v>532</v>
      </c>
      <c r="X70">
        <v>487</v>
      </c>
      <c r="Y70">
        <v>411</v>
      </c>
      <c r="Z70">
        <f t="shared" si="14"/>
        <v>355</v>
      </c>
      <c r="AA70">
        <v>298</v>
      </c>
      <c r="AB70">
        <f t="shared" si="15"/>
        <v>209</v>
      </c>
      <c r="AC70">
        <v>119</v>
      </c>
    </row>
    <row r="71" spans="1:29" x14ac:dyDescent="0.25">
      <c r="A71" t="s">
        <v>79</v>
      </c>
      <c r="B71">
        <v>649</v>
      </c>
      <c r="C71">
        <v>583</v>
      </c>
      <c r="D71">
        <v>483</v>
      </c>
      <c r="E71">
        <f t="shared" si="8"/>
        <v>414</v>
      </c>
      <c r="F71">
        <v>345</v>
      </c>
      <c r="G71">
        <f t="shared" si="9"/>
        <v>235</v>
      </c>
      <c r="H71">
        <v>125</v>
      </c>
      <c r="I71">
        <v>649</v>
      </c>
      <c r="J71">
        <v>583</v>
      </c>
      <c r="K71">
        <v>483</v>
      </c>
      <c r="L71">
        <f t="shared" si="10"/>
        <v>414</v>
      </c>
      <c r="M71">
        <v>345</v>
      </c>
      <c r="N71">
        <f t="shared" si="11"/>
        <v>235</v>
      </c>
      <c r="O71">
        <v>125</v>
      </c>
      <c r="P71">
        <v>486</v>
      </c>
      <c r="Q71">
        <v>446</v>
      </c>
      <c r="R71">
        <v>378</v>
      </c>
      <c r="S71">
        <f t="shared" si="12"/>
        <v>329</v>
      </c>
      <c r="T71">
        <v>280</v>
      </c>
      <c r="U71">
        <f t="shared" si="13"/>
        <v>195</v>
      </c>
      <c r="V71">
        <v>109</v>
      </c>
      <c r="W71">
        <v>486</v>
      </c>
      <c r="X71">
        <v>446</v>
      </c>
      <c r="Y71">
        <v>378</v>
      </c>
      <c r="Z71">
        <f t="shared" si="14"/>
        <v>329</v>
      </c>
      <c r="AA71">
        <v>280</v>
      </c>
      <c r="AB71">
        <f t="shared" si="15"/>
        <v>195</v>
      </c>
      <c r="AC71">
        <v>109</v>
      </c>
    </row>
    <row r="72" spans="1:29" x14ac:dyDescent="0.25">
      <c r="A72" t="s">
        <v>80</v>
      </c>
      <c r="B72">
        <v>1049</v>
      </c>
      <c r="C72">
        <v>920</v>
      </c>
      <c r="D72">
        <v>753</v>
      </c>
      <c r="E72">
        <f t="shared" si="8"/>
        <v>644</v>
      </c>
      <c r="F72">
        <v>534</v>
      </c>
      <c r="G72">
        <f t="shared" si="9"/>
        <v>368</v>
      </c>
      <c r="H72">
        <v>201</v>
      </c>
      <c r="I72">
        <v>915</v>
      </c>
      <c r="J72">
        <v>792</v>
      </c>
      <c r="K72">
        <v>640</v>
      </c>
      <c r="L72">
        <f t="shared" si="10"/>
        <v>543</v>
      </c>
      <c r="M72">
        <v>446</v>
      </c>
      <c r="N72">
        <f t="shared" si="11"/>
        <v>306</v>
      </c>
      <c r="O72">
        <v>166</v>
      </c>
      <c r="P72">
        <v>787</v>
      </c>
      <c r="Q72">
        <v>704</v>
      </c>
      <c r="R72">
        <v>590</v>
      </c>
      <c r="S72">
        <f t="shared" si="12"/>
        <v>512</v>
      </c>
      <c r="T72">
        <v>434</v>
      </c>
      <c r="U72">
        <f t="shared" si="13"/>
        <v>305</v>
      </c>
      <c r="V72">
        <v>175</v>
      </c>
      <c r="W72">
        <v>687</v>
      </c>
      <c r="X72">
        <v>606</v>
      </c>
      <c r="Y72">
        <v>501</v>
      </c>
      <c r="Z72">
        <f t="shared" si="14"/>
        <v>432</v>
      </c>
      <c r="AA72">
        <v>363</v>
      </c>
      <c r="AB72">
        <f t="shared" si="15"/>
        <v>254</v>
      </c>
      <c r="AC72">
        <v>145</v>
      </c>
    </row>
    <row r="73" spans="1:29" x14ac:dyDescent="0.25">
      <c r="A73" t="s">
        <v>81</v>
      </c>
      <c r="B73">
        <v>919</v>
      </c>
      <c r="C73">
        <v>811</v>
      </c>
      <c r="D73">
        <v>671</v>
      </c>
      <c r="E73">
        <f t="shared" si="8"/>
        <v>575</v>
      </c>
      <c r="F73">
        <v>478</v>
      </c>
      <c r="G73">
        <f t="shared" si="9"/>
        <v>329</v>
      </c>
      <c r="H73">
        <v>180</v>
      </c>
      <c r="I73">
        <v>861</v>
      </c>
      <c r="J73">
        <v>747</v>
      </c>
      <c r="K73">
        <v>606</v>
      </c>
      <c r="L73">
        <f t="shared" si="10"/>
        <v>515</v>
      </c>
      <c r="M73">
        <v>424</v>
      </c>
      <c r="N73">
        <f t="shared" si="11"/>
        <v>291</v>
      </c>
      <c r="O73">
        <v>157</v>
      </c>
      <c r="P73">
        <v>689</v>
      </c>
      <c r="Q73">
        <v>621</v>
      </c>
      <c r="R73">
        <v>525</v>
      </c>
      <c r="S73">
        <f t="shared" si="12"/>
        <v>457</v>
      </c>
      <c r="T73">
        <v>388</v>
      </c>
      <c r="U73">
        <f t="shared" si="13"/>
        <v>273</v>
      </c>
      <c r="V73">
        <v>157</v>
      </c>
      <c r="W73">
        <v>645</v>
      </c>
      <c r="X73">
        <v>572</v>
      </c>
      <c r="Y73">
        <v>475</v>
      </c>
      <c r="Z73">
        <f t="shared" si="14"/>
        <v>410</v>
      </c>
      <c r="AA73">
        <v>344</v>
      </c>
      <c r="AB73">
        <f t="shared" si="15"/>
        <v>241</v>
      </c>
      <c r="AC73">
        <v>137</v>
      </c>
    </row>
    <row r="74" spans="1:29" x14ac:dyDescent="0.25">
      <c r="A74" t="s">
        <v>82</v>
      </c>
      <c r="B74">
        <v>816</v>
      </c>
      <c r="C74">
        <v>724</v>
      </c>
      <c r="D74">
        <v>583</v>
      </c>
      <c r="E74">
        <f t="shared" si="8"/>
        <v>500</v>
      </c>
      <c r="F74">
        <v>416</v>
      </c>
      <c r="G74">
        <f t="shared" si="9"/>
        <v>287</v>
      </c>
      <c r="H74">
        <v>157</v>
      </c>
      <c r="I74">
        <v>816</v>
      </c>
      <c r="J74">
        <v>724</v>
      </c>
      <c r="K74">
        <v>583</v>
      </c>
      <c r="L74">
        <f t="shared" si="10"/>
        <v>492</v>
      </c>
      <c r="M74">
        <v>401</v>
      </c>
      <c r="N74">
        <f t="shared" si="11"/>
        <v>274</v>
      </c>
      <c r="O74">
        <v>147</v>
      </c>
      <c r="P74">
        <v>612</v>
      </c>
      <c r="Q74">
        <v>554</v>
      </c>
      <c r="R74">
        <v>456</v>
      </c>
      <c r="S74">
        <f t="shared" si="12"/>
        <v>397</v>
      </c>
      <c r="T74">
        <v>338</v>
      </c>
      <c r="U74">
        <f t="shared" si="13"/>
        <v>238</v>
      </c>
      <c r="V74">
        <v>137</v>
      </c>
      <c r="W74">
        <v>612</v>
      </c>
      <c r="X74">
        <v>554</v>
      </c>
      <c r="Y74">
        <v>456</v>
      </c>
      <c r="Z74">
        <f t="shared" si="14"/>
        <v>391</v>
      </c>
      <c r="AA74">
        <v>326</v>
      </c>
      <c r="AB74">
        <f t="shared" si="15"/>
        <v>227</v>
      </c>
      <c r="AC74">
        <v>128</v>
      </c>
    </row>
    <row r="75" spans="1:29" x14ac:dyDescent="0.25">
      <c r="A75" t="s">
        <v>83</v>
      </c>
      <c r="B75">
        <v>760</v>
      </c>
      <c r="C75">
        <v>677</v>
      </c>
      <c r="D75">
        <v>549</v>
      </c>
      <c r="E75">
        <f t="shared" si="8"/>
        <v>468</v>
      </c>
      <c r="F75">
        <v>386</v>
      </c>
      <c r="G75">
        <f t="shared" si="9"/>
        <v>264</v>
      </c>
      <c r="H75">
        <v>142</v>
      </c>
      <c r="I75">
        <v>760</v>
      </c>
      <c r="J75">
        <v>677</v>
      </c>
      <c r="K75">
        <v>549</v>
      </c>
      <c r="L75">
        <f t="shared" si="10"/>
        <v>468</v>
      </c>
      <c r="M75">
        <v>386</v>
      </c>
      <c r="N75">
        <f t="shared" si="11"/>
        <v>264</v>
      </c>
      <c r="O75">
        <v>142</v>
      </c>
      <c r="P75">
        <v>570</v>
      </c>
      <c r="Q75">
        <v>518</v>
      </c>
      <c r="R75">
        <v>430</v>
      </c>
      <c r="S75">
        <f t="shared" si="12"/>
        <v>372</v>
      </c>
      <c r="T75">
        <v>314</v>
      </c>
      <c r="U75">
        <f t="shared" si="13"/>
        <v>219</v>
      </c>
      <c r="V75">
        <v>124</v>
      </c>
      <c r="W75">
        <v>570</v>
      </c>
      <c r="X75">
        <v>518</v>
      </c>
      <c r="Y75">
        <v>430</v>
      </c>
      <c r="Z75">
        <f t="shared" si="14"/>
        <v>372</v>
      </c>
      <c r="AA75">
        <v>314</v>
      </c>
      <c r="AB75">
        <f t="shared" si="15"/>
        <v>219</v>
      </c>
      <c r="AC75">
        <v>124</v>
      </c>
    </row>
    <row r="76" spans="1:29" x14ac:dyDescent="0.25">
      <c r="A76" t="s">
        <v>84</v>
      </c>
      <c r="B76">
        <v>705</v>
      </c>
      <c r="C76">
        <v>630</v>
      </c>
      <c r="D76">
        <v>520</v>
      </c>
      <c r="E76">
        <f t="shared" si="8"/>
        <v>443</v>
      </c>
      <c r="F76">
        <v>365</v>
      </c>
      <c r="G76">
        <f t="shared" si="9"/>
        <v>251</v>
      </c>
      <c r="H76">
        <v>136</v>
      </c>
      <c r="I76">
        <v>705</v>
      </c>
      <c r="J76">
        <v>630</v>
      </c>
      <c r="K76">
        <v>520</v>
      </c>
      <c r="L76">
        <f t="shared" si="10"/>
        <v>443</v>
      </c>
      <c r="M76">
        <v>365</v>
      </c>
      <c r="N76">
        <f t="shared" si="11"/>
        <v>251</v>
      </c>
      <c r="O76">
        <v>136</v>
      </c>
      <c r="P76">
        <v>529</v>
      </c>
      <c r="Q76">
        <v>482</v>
      </c>
      <c r="R76">
        <v>407</v>
      </c>
      <c r="S76">
        <f t="shared" si="12"/>
        <v>352</v>
      </c>
      <c r="T76">
        <v>296</v>
      </c>
      <c r="U76">
        <f t="shared" si="13"/>
        <v>207</v>
      </c>
      <c r="V76">
        <v>118</v>
      </c>
      <c r="W76">
        <v>529</v>
      </c>
      <c r="X76">
        <v>482</v>
      </c>
      <c r="Y76">
        <v>407</v>
      </c>
      <c r="Z76">
        <f t="shared" si="14"/>
        <v>352</v>
      </c>
      <c r="AA76">
        <v>296</v>
      </c>
      <c r="AB76">
        <f t="shared" si="15"/>
        <v>207</v>
      </c>
      <c r="AC76">
        <v>118</v>
      </c>
    </row>
    <row r="77" spans="1:29" x14ac:dyDescent="0.25">
      <c r="A77" t="s">
        <v>85</v>
      </c>
      <c r="B77">
        <v>646</v>
      </c>
      <c r="C77">
        <v>580</v>
      </c>
      <c r="D77">
        <v>481</v>
      </c>
      <c r="E77">
        <f t="shared" si="8"/>
        <v>412</v>
      </c>
      <c r="F77">
        <v>343</v>
      </c>
      <c r="G77">
        <f t="shared" si="9"/>
        <v>234</v>
      </c>
      <c r="H77">
        <v>125</v>
      </c>
      <c r="I77">
        <v>646</v>
      </c>
      <c r="J77">
        <v>580</v>
      </c>
      <c r="K77">
        <v>481</v>
      </c>
      <c r="L77">
        <f t="shared" si="10"/>
        <v>412</v>
      </c>
      <c r="M77">
        <v>343</v>
      </c>
      <c r="N77">
        <f t="shared" si="11"/>
        <v>234</v>
      </c>
      <c r="O77">
        <v>125</v>
      </c>
      <c r="P77">
        <v>484</v>
      </c>
      <c r="Q77">
        <v>444</v>
      </c>
      <c r="R77">
        <v>376</v>
      </c>
      <c r="S77">
        <f t="shared" si="12"/>
        <v>328</v>
      </c>
      <c r="T77">
        <v>279</v>
      </c>
      <c r="U77">
        <f t="shared" si="13"/>
        <v>194</v>
      </c>
      <c r="V77">
        <v>109</v>
      </c>
      <c r="W77">
        <v>484</v>
      </c>
      <c r="X77">
        <v>444</v>
      </c>
      <c r="Y77">
        <v>376</v>
      </c>
      <c r="Z77">
        <f t="shared" si="14"/>
        <v>328</v>
      </c>
      <c r="AA77">
        <v>279</v>
      </c>
      <c r="AB77">
        <f t="shared" si="15"/>
        <v>194</v>
      </c>
      <c r="AC77">
        <v>109</v>
      </c>
    </row>
    <row r="78" spans="1:29" x14ac:dyDescent="0.25">
      <c r="A78" t="s">
        <v>86</v>
      </c>
      <c r="B78">
        <v>583</v>
      </c>
      <c r="C78">
        <v>525</v>
      </c>
      <c r="D78">
        <v>438</v>
      </c>
      <c r="E78">
        <f t="shared" si="8"/>
        <v>376</v>
      </c>
      <c r="F78">
        <v>313</v>
      </c>
      <c r="G78">
        <f t="shared" si="9"/>
        <v>213</v>
      </c>
      <c r="H78">
        <v>113</v>
      </c>
      <c r="I78">
        <v>583</v>
      </c>
      <c r="J78">
        <v>525</v>
      </c>
      <c r="K78">
        <v>438</v>
      </c>
      <c r="L78">
        <f t="shared" si="10"/>
        <v>376</v>
      </c>
      <c r="M78">
        <v>313</v>
      </c>
      <c r="N78">
        <f t="shared" si="11"/>
        <v>213</v>
      </c>
      <c r="O78">
        <v>113</v>
      </c>
      <c r="P78">
        <v>437</v>
      </c>
      <c r="Q78">
        <v>402</v>
      </c>
      <c r="R78">
        <v>343</v>
      </c>
      <c r="S78">
        <f t="shared" si="12"/>
        <v>299</v>
      </c>
      <c r="T78">
        <v>255</v>
      </c>
      <c r="U78">
        <f t="shared" si="13"/>
        <v>177</v>
      </c>
      <c r="V78">
        <v>99</v>
      </c>
      <c r="W78">
        <v>437</v>
      </c>
      <c r="X78">
        <v>402</v>
      </c>
      <c r="Y78">
        <v>343</v>
      </c>
      <c r="Z78">
        <f t="shared" si="14"/>
        <v>299</v>
      </c>
      <c r="AA78">
        <v>255</v>
      </c>
      <c r="AB78">
        <f t="shared" si="15"/>
        <v>177</v>
      </c>
      <c r="AC78">
        <v>99</v>
      </c>
    </row>
    <row r="79" spans="1:29" x14ac:dyDescent="0.25">
      <c r="A79" t="s">
        <v>87</v>
      </c>
      <c r="B79">
        <v>913</v>
      </c>
      <c r="C79">
        <v>805</v>
      </c>
      <c r="D79">
        <v>662</v>
      </c>
      <c r="E79">
        <f t="shared" si="8"/>
        <v>567</v>
      </c>
      <c r="F79">
        <v>471</v>
      </c>
      <c r="G79">
        <f t="shared" si="9"/>
        <v>324</v>
      </c>
      <c r="H79">
        <v>176</v>
      </c>
      <c r="I79">
        <v>859</v>
      </c>
      <c r="J79">
        <v>746</v>
      </c>
      <c r="K79">
        <v>604</v>
      </c>
      <c r="L79">
        <f t="shared" si="10"/>
        <v>513</v>
      </c>
      <c r="M79">
        <v>421</v>
      </c>
      <c r="N79">
        <f t="shared" si="11"/>
        <v>288</v>
      </c>
      <c r="O79">
        <v>154</v>
      </c>
      <c r="P79">
        <v>684</v>
      </c>
      <c r="Q79">
        <v>616</v>
      </c>
      <c r="R79">
        <v>518</v>
      </c>
      <c r="S79">
        <f t="shared" si="12"/>
        <v>451</v>
      </c>
      <c r="T79">
        <v>383</v>
      </c>
      <c r="U79">
        <f t="shared" si="13"/>
        <v>269</v>
      </c>
      <c r="V79">
        <v>154</v>
      </c>
      <c r="W79">
        <v>643</v>
      </c>
      <c r="X79">
        <v>571</v>
      </c>
      <c r="Y79">
        <v>472</v>
      </c>
      <c r="Z79">
        <f t="shared" si="14"/>
        <v>407</v>
      </c>
      <c r="AA79">
        <v>342</v>
      </c>
      <c r="AB79">
        <f t="shared" si="15"/>
        <v>239</v>
      </c>
      <c r="AC79">
        <v>135</v>
      </c>
    </row>
    <row r="80" spans="1:29" x14ac:dyDescent="0.25">
      <c r="A80" t="s">
        <v>88</v>
      </c>
      <c r="B80">
        <v>810</v>
      </c>
      <c r="C80">
        <v>717</v>
      </c>
      <c r="D80">
        <v>578</v>
      </c>
      <c r="E80">
        <f t="shared" si="8"/>
        <v>495</v>
      </c>
      <c r="F80">
        <v>411</v>
      </c>
      <c r="G80">
        <f t="shared" si="9"/>
        <v>283</v>
      </c>
      <c r="H80">
        <v>155</v>
      </c>
      <c r="I80">
        <v>810</v>
      </c>
      <c r="J80">
        <v>717</v>
      </c>
      <c r="K80">
        <v>578</v>
      </c>
      <c r="L80">
        <f t="shared" si="10"/>
        <v>488</v>
      </c>
      <c r="M80">
        <v>398</v>
      </c>
      <c r="N80">
        <f t="shared" si="11"/>
        <v>273</v>
      </c>
      <c r="O80">
        <v>147</v>
      </c>
      <c r="P80">
        <v>607</v>
      </c>
      <c r="Q80">
        <v>549</v>
      </c>
      <c r="R80">
        <v>453</v>
      </c>
      <c r="S80">
        <f t="shared" si="12"/>
        <v>394</v>
      </c>
      <c r="T80">
        <v>334</v>
      </c>
      <c r="U80">
        <f t="shared" si="13"/>
        <v>235</v>
      </c>
      <c r="V80">
        <v>135</v>
      </c>
      <c r="W80">
        <v>607</v>
      </c>
      <c r="X80">
        <v>549</v>
      </c>
      <c r="Y80">
        <v>453</v>
      </c>
      <c r="Z80">
        <f t="shared" si="14"/>
        <v>389</v>
      </c>
      <c r="AA80">
        <v>324</v>
      </c>
      <c r="AB80">
        <f t="shared" si="15"/>
        <v>226</v>
      </c>
      <c r="AC80">
        <v>128</v>
      </c>
    </row>
    <row r="81" spans="1:29" x14ac:dyDescent="0.25">
      <c r="A81" t="s">
        <v>89</v>
      </c>
      <c r="B81">
        <v>754</v>
      </c>
      <c r="C81">
        <v>671</v>
      </c>
      <c r="D81">
        <v>544</v>
      </c>
      <c r="E81">
        <f t="shared" si="8"/>
        <v>463</v>
      </c>
      <c r="F81">
        <v>382</v>
      </c>
      <c r="G81">
        <f t="shared" si="9"/>
        <v>262</v>
      </c>
      <c r="H81">
        <v>141</v>
      </c>
      <c r="I81">
        <v>754</v>
      </c>
      <c r="J81">
        <v>671</v>
      </c>
      <c r="K81">
        <v>544</v>
      </c>
      <c r="L81">
        <f t="shared" si="10"/>
        <v>463</v>
      </c>
      <c r="M81">
        <v>382</v>
      </c>
      <c r="N81">
        <f t="shared" si="11"/>
        <v>262</v>
      </c>
      <c r="O81">
        <v>141</v>
      </c>
      <c r="P81">
        <v>565</v>
      </c>
      <c r="Q81">
        <v>513</v>
      </c>
      <c r="R81">
        <v>426</v>
      </c>
      <c r="S81">
        <f t="shared" si="12"/>
        <v>369</v>
      </c>
      <c r="T81">
        <v>311</v>
      </c>
      <c r="U81">
        <f t="shared" si="13"/>
        <v>217</v>
      </c>
      <c r="V81">
        <v>122</v>
      </c>
      <c r="W81">
        <v>565</v>
      </c>
      <c r="X81">
        <v>513</v>
      </c>
      <c r="Y81">
        <v>426</v>
      </c>
      <c r="Z81">
        <f t="shared" si="14"/>
        <v>369</v>
      </c>
      <c r="AA81">
        <v>311</v>
      </c>
      <c r="AB81">
        <f t="shared" si="15"/>
        <v>217</v>
      </c>
      <c r="AC81">
        <v>122</v>
      </c>
    </row>
    <row r="82" spans="1:29" x14ac:dyDescent="0.25">
      <c r="A82" t="s">
        <v>90</v>
      </c>
      <c r="B82">
        <v>697</v>
      </c>
      <c r="C82">
        <v>623</v>
      </c>
      <c r="D82">
        <v>513</v>
      </c>
      <c r="E82">
        <f t="shared" si="8"/>
        <v>437</v>
      </c>
      <c r="F82">
        <v>360</v>
      </c>
      <c r="G82">
        <f t="shared" si="9"/>
        <v>248</v>
      </c>
      <c r="H82">
        <v>135</v>
      </c>
      <c r="I82">
        <v>697</v>
      </c>
      <c r="J82">
        <v>623</v>
      </c>
      <c r="K82">
        <v>513</v>
      </c>
      <c r="L82">
        <f t="shared" si="10"/>
        <v>437</v>
      </c>
      <c r="M82">
        <v>360</v>
      </c>
      <c r="N82">
        <f t="shared" si="11"/>
        <v>248</v>
      </c>
      <c r="O82">
        <v>135</v>
      </c>
      <c r="P82">
        <v>523</v>
      </c>
      <c r="Q82">
        <v>477</v>
      </c>
      <c r="R82">
        <v>402</v>
      </c>
      <c r="S82">
        <f t="shared" si="12"/>
        <v>347</v>
      </c>
      <c r="T82">
        <v>292</v>
      </c>
      <c r="U82">
        <f t="shared" si="13"/>
        <v>205</v>
      </c>
      <c r="V82">
        <v>117</v>
      </c>
      <c r="W82">
        <v>523</v>
      </c>
      <c r="X82">
        <v>477</v>
      </c>
      <c r="Y82">
        <v>402</v>
      </c>
      <c r="Z82">
        <f t="shared" si="14"/>
        <v>347</v>
      </c>
      <c r="AA82">
        <v>292</v>
      </c>
      <c r="AB82">
        <f t="shared" si="15"/>
        <v>205</v>
      </c>
      <c r="AC82">
        <v>117</v>
      </c>
    </row>
    <row r="83" spans="1:29" x14ac:dyDescent="0.25">
      <c r="A83" t="s">
        <v>91</v>
      </c>
      <c r="B83">
        <v>641</v>
      </c>
      <c r="C83">
        <v>576</v>
      </c>
      <c r="D83">
        <v>477</v>
      </c>
      <c r="E83">
        <f t="shared" si="8"/>
        <v>409</v>
      </c>
      <c r="F83">
        <v>341</v>
      </c>
      <c r="G83">
        <f t="shared" si="9"/>
        <v>234</v>
      </c>
      <c r="H83">
        <v>126</v>
      </c>
      <c r="I83">
        <v>641</v>
      </c>
      <c r="J83">
        <v>576</v>
      </c>
      <c r="K83">
        <v>477</v>
      </c>
      <c r="L83">
        <f t="shared" si="10"/>
        <v>409</v>
      </c>
      <c r="M83">
        <v>341</v>
      </c>
      <c r="N83">
        <f t="shared" si="11"/>
        <v>234</v>
      </c>
      <c r="O83">
        <v>126</v>
      </c>
      <c r="P83">
        <v>481</v>
      </c>
      <c r="Q83">
        <v>440</v>
      </c>
      <c r="R83">
        <v>374</v>
      </c>
      <c r="S83">
        <f t="shared" si="12"/>
        <v>326</v>
      </c>
      <c r="T83">
        <v>277</v>
      </c>
      <c r="U83">
        <f t="shared" si="13"/>
        <v>193</v>
      </c>
      <c r="V83">
        <v>109</v>
      </c>
      <c r="W83">
        <v>481</v>
      </c>
      <c r="X83">
        <v>440</v>
      </c>
      <c r="Y83">
        <v>374</v>
      </c>
      <c r="Z83">
        <f t="shared" si="14"/>
        <v>326</v>
      </c>
      <c r="AA83">
        <v>277</v>
      </c>
      <c r="AB83">
        <f t="shared" si="15"/>
        <v>193</v>
      </c>
      <c r="AC83">
        <v>109</v>
      </c>
    </row>
    <row r="84" spans="1:29" x14ac:dyDescent="0.25">
      <c r="A84" t="s">
        <v>92</v>
      </c>
      <c r="B84">
        <v>579</v>
      </c>
      <c r="C84">
        <v>522</v>
      </c>
      <c r="D84">
        <v>434</v>
      </c>
      <c r="E84">
        <f t="shared" si="8"/>
        <v>373</v>
      </c>
      <c r="F84">
        <v>312</v>
      </c>
      <c r="G84">
        <f t="shared" si="9"/>
        <v>213</v>
      </c>
      <c r="H84">
        <v>114</v>
      </c>
      <c r="I84">
        <v>579</v>
      </c>
      <c r="J84">
        <v>522</v>
      </c>
      <c r="K84">
        <v>434</v>
      </c>
      <c r="L84">
        <f t="shared" si="10"/>
        <v>373</v>
      </c>
      <c r="M84">
        <v>312</v>
      </c>
      <c r="N84">
        <f t="shared" si="11"/>
        <v>213</v>
      </c>
      <c r="O84">
        <v>114</v>
      </c>
      <c r="P84">
        <v>434</v>
      </c>
      <c r="Q84">
        <v>399</v>
      </c>
      <c r="R84">
        <v>340</v>
      </c>
      <c r="S84">
        <f t="shared" si="12"/>
        <v>297</v>
      </c>
      <c r="T84">
        <v>253</v>
      </c>
      <c r="U84">
        <f t="shared" si="13"/>
        <v>176</v>
      </c>
      <c r="V84">
        <v>99</v>
      </c>
      <c r="W84">
        <v>434</v>
      </c>
      <c r="X84">
        <v>399</v>
      </c>
      <c r="Y84">
        <v>340</v>
      </c>
      <c r="Z84">
        <f t="shared" si="14"/>
        <v>297</v>
      </c>
      <c r="AA84">
        <v>253</v>
      </c>
      <c r="AB84">
        <f t="shared" si="15"/>
        <v>176</v>
      </c>
      <c r="AC84">
        <v>99</v>
      </c>
    </row>
    <row r="85" spans="1:29" x14ac:dyDescent="0.25">
      <c r="A85" t="s">
        <v>93</v>
      </c>
      <c r="B85">
        <v>514</v>
      </c>
      <c r="C85">
        <v>466</v>
      </c>
      <c r="D85">
        <v>390</v>
      </c>
      <c r="E85">
        <f t="shared" si="8"/>
        <v>336</v>
      </c>
      <c r="F85">
        <v>282</v>
      </c>
      <c r="G85">
        <f t="shared" si="9"/>
        <v>192</v>
      </c>
      <c r="H85">
        <v>102</v>
      </c>
      <c r="I85">
        <v>514</v>
      </c>
      <c r="J85">
        <v>466</v>
      </c>
      <c r="K85">
        <v>390</v>
      </c>
      <c r="L85">
        <f t="shared" si="10"/>
        <v>336</v>
      </c>
      <c r="M85">
        <v>282</v>
      </c>
      <c r="N85">
        <f t="shared" si="11"/>
        <v>192</v>
      </c>
      <c r="O85">
        <v>102</v>
      </c>
      <c r="P85">
        <v>385</v>
      </c>
      <c r="Q85">
        <v>357</v>
      </c>
      <c r="R85">
        <v>306</v>
      </c>
      <c r="S85">
        <f t="shared" si="12"/>
        <v>268</v>
      </c>
      <c r="T85">
        <v>229</v>
      </c>
      <c r="U85">
        <f t="shared" si="13"/>
        <v>159</v>
      </c>
      <c r="V85">
        <v>89</v>
      </c>
      <c r="W85">
        <v>385</v>
      </c>
      <c r="X85">
        <v>357</v>
      </c>
      <c r="Y85">
        <v>306</v>
      </c>
      <c r="Z85">
        <f t="shared" si="14"/>
        <v>268</v>
      </c>
      <c r="AA85">
        <v>229</v>
      </c>
      <c r="AB85">
        <f t="shared" si="15"/>
        <v>159</v>
      </c>
      <c r="AC85">
        <v>89</v>
      </c>
    </row>
    <row r="86" spans="1:29" x14ac:dyDescent="0.25">
      <c r="A86" t="s">
        <v>94</v>
      </c>
      <c r="B86">
        <v>803</v>
      </c>
      <c r="C86">
        <v>711</v>
      </c>
      <c r="D86">
        <v>572</v>
      </c>
      <c r="E86">
        <f t="shared" si="8"/>
        <v>488</v>
      </c>
      <c r="F86">
        <v>404</v>
      </c>
      <c r="G86">
        <f t="shared" si="9"/>
        <v>278</v>
      </c>
      <c r="H86">
        <v>151</v>
      </c>
      <c r="I86">
        <v>803</v>
      </c>
      <c r="J86">
        <v>711</v>
      </c>
      <c r="K86">
        <v>572</v>
      </c>
      <c r="L86">
        <f t="shared" si="10"/>
        <v>484</v>
      </c>
      <c r="M86">
        <v>396</v>
      </c>
      <c r="N86">
        <f t="shared" si="11"/>
        <v>270</v>
      </c>
      <c r="O86">
        <v>144</v>
      </c>
      <c r="P86">
        <v>602</v>
      </c>
      <c r="Q86">
        <v>544</v>
      </c>
      <c r="R86">
        <v>448</v>
      </c>
      <c r="S86">
        <f t="shared" si="12"/>
        <v>388</v>
      </c>
      <c r="T86">
        <v>328</v>
      </c>
      <c r="U86">
        <f t="shared" si="13"/>
        <v>230</v>
      </c>
      <c r="V86">
        <v>132</v>
      </c>
      <c r="W86">
        <v>602</v>
      </c>
      <c r="X86">
        <v>544</v>
      </c>
      <c r="Y86">
        <v>448</v>
      </c>
      <c r="Z86">
        <f t="shared" si="14"/>
        <v>385</v>
      </c>
      <c r="AA86">
        <v>322</v>
      </c>
      <c r="AB86">
        <f t="shared" si="15"/>
        <v>224</v>
      </c>
      <c r="AC86">
        <v>126</v>
      </c>
    </row>
    <row r="87" spans="1:29" x14ac:dyDescent="0.25">
      <c r="A87" t="s">
        <v>95</v>
      </c>
      <c r="B87">
        <v>747</v>
      </c>
      <c r="C87">
        <v>665</v>
      </c>
      <c r="D87">
        <v>544</v>
      </c>
      <c r="E87">
        <f t="shared" si="8"/>
        <v>461</v>
      </c>
      <c r="F87">
        <v>377</v>
      </c>
      <c r="G87">
        <f t="shared" si="9"/>
        <v>258</v>
      </c>
      <c r="H87">
        <v>138</v>
      </c>
      <c r="I87">
        <v>747</v>
      </c>
      <c r="J87">
        <v>665</v>
      </c>
      <c r="K87">
        <v>544</v>
      </c>
      <c r="L87">
        <f t="shared" si="10"/>
        <v>461</v>
      </c>
      <c r="M87">
        <v>377</v>
      </c>
      <c r="N87">
        <f t="shared" si="11"/>
        <v>258</v>
      </c>
      <c r="O87">
        <v>138</v>
      </c>
      <c r="P87">
        <v>560</v>
      </c>
      <c r="Q87">
        <v>508</v>
      </c>
      <c r="R87">
        <v>426</v>
      </c>
      <c r="S87">
        <f t="shared" si="12"/>
        <v>367</v>
      </c>
      <c r="T87">
        <v>307</v>
      </c>
      <c r="U87">
        <f t="shared" si="13"/>
        <v>214</v>
      </c>
      <c r="V87">
        <v>120</v>
      </c>
      <c r="W87">
        <v>560</v>
      </c>
      <c r="X87">
        <v>508</v>
      </c>
      <c r="Y87">
        <v>426</v>
      </c>
      <c r="Z87">
        <f t="shared" si="14"/>
        <v>367</v>
      </c>
      <c r="AA87">
        <v>307</v>
      </c>
      <c r="AB87">
        <f t="shared" si="15"/>
        <v>214</v>
      </c>
      <c r="AC87">
        <v>120</v>
      </c>
    </row>
    <row r="88" spans="1:29" x14ac:dyDescent="0.25">
      <c r="A88" t="s">
        <v>96</v>
      </c>
      <c r="B88">
        <v>691</v>
      </c>
      <c r="C88">
        <v>617</v>
      </c>
      <c r="D88">
        <v>508</v>
      </c>
      <c r="E88">
        <f t="shared" si="8"/>
        <v>432</v>
      </c>
      <c r="F88">
        <v>356</v>
      </c>
      <c r="G88">
        <f t="shared" si="9"/>
        <v>244</v>
      </c>
      <c r="H88">
        <v>131</v>
      </c>
      <c r="I88">
        <v>691</v>
      </c>
      <c r="J88">
        <v>617</v>
      </c>
      <c r="K88">
        <v>508</v>
      </c>
      <c r="L88">
        <f t="shared" si="10"/>
        <v>432</v>
      </c>
      <c r="M88">
        <v>356</v>
      </c>
      <c r="N88">
        <f t="shared" si="11"/>
        <v>244</v>
      </c>
      <c r="O88">
        <v>131</v>
      </c>
      <c r="P88">
        <v>518</v>
      </c>
      <c r="Q88">
        <v>472</v>
      </c>
      <c r="R88">
        <v>397</v>
      </c>
      <c r="S88">
        <f t="shared" si="12"/>
        <v>343</v>
      </c>
      <c r="T88">
        <v>289</v>
      </c>
      <c r="U88">
        <f t="shared" si="13"/>
        <v>202</v>
      </c>
      <c r="V88">
        <v>114</v>
      </c>
      <c r="W88">
        <v>518</v>
      </c>
      <c r="X88">
        <v>472</v>
      </c>
      <c r="Y88">
        <v>397</v>
      </c>
      <c r="Z88">
        <f t="shared" si="14"/>
        <v>343</v>
      </c>
      <c r="AA88">
        <v>289</v>
      </c>
      <c r="AB88">
        <f t="shared" si="15"/>
        <v>202</v>
      </c>
      <c r="AC88">
        <v>114</v>
      </c>
    </row>
    <row r="89" spans="1:29" x14ac:dyDescent="0.25">
      <c r="A89" t="s">
        <v>97</v>
      </c>
      <c r="B89">
        <v>634</v>
      </c>
      <c r="C89">
        <v>569</v>
      </c>
      <c r="D89">
        <v>471</v>
      </c>
      <c r="E89">
        <f t="shared" si="8"/>
        <v>404</v>
      </c>
      <c r="F89">
        <v>337</v>
      </c>
      <c r="G89">
        <f t="shared" si="9"/>
        <v>231</v>
      </c>
      <c r="H89">
        <v>124</v>
      </c>
      <c r="I89">
        <v>634</v>
      </c>
      <c r="J89">
        <v>569</v>
      </c>
      <c r="K89">
        <v>471</v>
      </c>
      <c r="L89">
        <f t="shared" si="10"/>
        <v>404</v>
      </c>
      <c r="M89">
        <v>337</v>
      </c>
      <c r="N89">
        <f t="shared" si="11"/>
        <v>231</v>
      </c>
      <c r="O89">
        <v>124</v>
      </c>
      <c r="P89">
        <v>475</v>
      </c>
      <c r="Q89">
        <v>435</v>
      </c>
      <c r="R89">
        <v>369</v>
      </c>
      <c r="S89">
        <f t="shared" si="12"/>
        <v>322</v>
      </c>
      <c r="T89">
        <v>274</v>
      </c>
      <c r="U89">
        <f t="shared" si="13"/>
        <v>191</v>
      </c>
      <c r="V89">
        <v>108</v>
      </c>
      <c r="W89">
        <v>475</v>
      </c>
      <c r="X89">
        <v>435</v>
      </c>
      <c r="Y89">
        <v>369</v>
      </c>
      <c r="Z89">
        <f t="shared" si="14"/>
        <v>322</v>
      </c>
      <c r="AA89">
        <v>274</v>
      </c>
      <c r="AB89">
        <f t="shared" si="15"/>
        <v>191</v>
      </c>
      <c r="AC89">
        <v>108</v>
      </c>
    </row>
    <row r="90" spans="1:29" x14ac:dyDescent="0.25">
      <c r="A90" t="s">
        <v>98</v>
      </c>
      <c r="B90">
        <v>574</v>
      </c>
      <c r="C90">
        <v>519</v>
      </c>
      <c r="D90">
        <v>432</v>
      </c>
      <c r="E90">
        <f t="shared" si="8"/>
        <v>372</v>
      </c>
      <c r="F90">
        <v>311</v>
      </c>
      <c r="G90">
        <f t="shared" si="9"/>
        <v>213</v>
      </c>
      <c r="H90">
        <v>114</v>
      </c>
      <c r="I90">
        <v>574</v>
      </c>
      <c r="J90">
        <v>519</v>
      </c>
      <c r="K90">
        <v>432</v>
      </c>
      <c r="L90">
        <f t="shared" si="10"/>
        <v>372</v>
      </c>
      <c r="M90">
        <v>311</v>
      </c>
      <c r="N90">
        <f t="shared" si="11"/>
        <v>213</v>
      </c>
      <c r="O90">
        <v>114</v>
      </c>
      <c r="P90">
        <v>431</v>
      </c>
      <c r="Q90">
        <v>397</v>
      </c>
      <c r="R90">
        <v>338</v>
      </c>
      <c r="S90">
        <f t="shared" si="12"/>
        <v>296</v>
      </c>
      <c r="T90">
        <v>253</v>
      </c>
      <c r="U90">
        <f t="shared" si="13"/>
        <v>176</v>
      </c>
      <c r="V90">
        <v>99</v>
      </c>
      <c r="W90">
        <v>431</v>
      </c>
      <c r="X90">
        <v>397</v>
      </c>
      <c r="Y90">
        <v>338</v>
      </c>
      <c r="Z90">
        <f t="shared" si="14"/>
        <v>296</v>
      </c>
      <c r="AA90">
        <v>253</v>
      </c>
      <c r="AB90">
        <f t="shared" si="15"/>
        <v>176</v>
      </c>
      <c r="AC90">
        <v>99</v>
      </c>
    </row>
    <row r="91" spans="1:29" x14ac:dyDescent="0.25">
      <c r="A91" t="s">
        <v>99</v>
      </c>
      <c r="B91">
        <v>511</v>
      </c>
      <c r="C91">
        <v>462</v>
      </c>
      <c r="D91">
        <v>387</v>
      </c>
      <c r="E91">
        <f t="shared" si="8"/>
        <v>334</v>
      </c>
      <c r="F91">
        <v>280</v>
      </c>
      <c r="G91">
        <f t="shared" si="9"/>
        <v>191</v>
      </c>
      <c r="H91">
        <v>102</v>
      </c>
      <c r="I91">
        <v>511</v>
      </c>
      <c r="J91">
        <v>462</v>
      </c>
      <c r="K91">
        <v>387</v>
      </c>
      <c r="L91">
        <f t="shared" si="10"/>
        <v>334</v>
      </c>
      <c r="M91">
        <v>280</v>
      </c>
      <c r="N91">
        <f t="shared" si="11"/>
        <v>191</v>
      </c>
      <c r="O91">
        <v>102</v>
      </c>
      <c r="P91">
        <v>383</v>
      </c>
      <c r="Q91">
        <v>354</v>
      </c>
      <c r="R91">
        <v>303</v>
      </c>
      <c r="S91">
        <f t="shared" si="12"/>
        <v>265</v>
      </c>
      <c r="T91">
        <v>227</v>
      </c>
      <c r="U91">
        <f t="shared" si="13"/>
        <v>158</v>
      </c>
      <c r="V91">
        <v>89</v>
      </c>
      <c r="W91">
        <v>383</v>
      </c>
      <c r="X91">
        <v>354</v>
      </c>
      <c r="Y91">
        <v>303</v>
      </c>
      <c r="Z91">
        <f t="shared" si="14"/>
        <v>265</v>
      </c>
      <c r="AA91">
        <v>227</v>
      </c>
      <c r="AB91">
        <f t="shared" si="15"/>
        <v>158</v>
      </c>
      <c r="AC91">
        <v>89</v>
      </c>
    </row>
    <row r="92" spans="1:29" x14ac:dyDescent="0.25">
      <c r="A92" t="s">
        <v>100</v>
      </c>
      <c r="B92">
        <v>443</v>
      </c>
      <c r="C92">
        <v>403</v>
      </c>
      <c r="D92">
        <v>341</v>
      </c>
      <c r="E92">
        <f t="shared" si="8"/>
        <v>295</v>
      </c>
      <c r="F92">
        <v>248</v>
      </c>
      <c r="G92">
        <f t="shared" si="9"/>
        <v>170</v>
      </c>
      <c r="H92">
        <v>92</v>
      </c>
      <c r="I92">
        <v>443</v>
      </c>
      <c r="J92">
        <v>403</v>
      </c>
      <c r="K92">
        <v>341</v>
      </c>
      <c r="L92">
        <f t="shared" si="10"/>
        <v>295</v>
      </c>
      <c r="M92">
        <v>248</v>
      </c>
      <c r="N92">
        <f t="shared" si="11"/>
        <v>170</v>
      </c>
      <c r="O92">
        <v>92</v>
      </c>
      <c r="P92">
        <v>332</v>
      </c>
      <c r="Q92">
        <v>309</v>
      </c>
      <c r="R92">
        <v>267</v>
      </c>
      <c r="S92">
        <f t="shared" si="12"/>
        <v>235</v>
      </c>
      <c r="T92">
        <v>202</v>
      </c>
      <c r="U92">
        <f t="shared" si="13"/>
        <v>141</v>
      </c>
      <c r="V92">
        <v>80</v>
      </c>
      <c r="W92">
        <v>332</v>
      </c>
      <c r="X92">
        <v>309</v>
      </c>
      <c r="Y92">
        <v>267</v>
      </c>
      <c r="Z92">
        <f t="shared" si="14"/>
        <v>235</v>
      </c>
      <c r="AA92">
        <v>202</v>
      </c>
      <c r="AB92">
        <f t="shared" si="15"/>
        <v>141</v>
      </c>
      <c r="AC92">
        <v>80</v>
      </c>
    </row>
    <row r="93" spans="1:29" x14ac:dyDescent="0.25">
      <c r="A93" t="s">
        <v>101</v>
      </c>
      <c r="B93">
        <v>741</v>
      </c>
      <c r="C93">
        <v>657</v>
      </c>
      <c r="D93">
        <v>538</v>
      </c>
      <c r="E93">
        <f t="shared" si="8"/>
        <v>456</v>
      </c>
      <c r="F93">
        <v>374</v>
      </c>
      <c r="G93">
        <f t="shared" si="9"/>
        <v>256</v>
      </c>
      <c r="H93">
        <v>137</v>
      </c>
      <c r="I93">
        <v>741</v>
      </c>
      <c r="J93">
        <v>657</v>
      </c>
      <c r="K93">
        <v>538</v>
      </c>
      <c r="L93">
        <f t="shared" si="10"/>
        <v>456</v>
      </c>
      <c r="M93">
        <v>374</v>
      </c>
      <c r="N93">
        <f t="shared" si="11"/>
        <v>256</v>
      </c>
      <c r="O93">
        <v>137</v>
      </c>
      <c r="P93">
        <v>555</v>
      </c>
      <c r="Q93">
        <v>503</v>
      </c>
      <c r="R93">
        <v>421</v>
      </c>
      <c r="S93">
        <f t="shared" si="12"/>
        <v>363</v>
      </c>
      <c r="T93">
        <v>304</v>
      </c>
      <c r="U93">
        <f t="shared" si="13"/>
        <v>212</v>
      </c>
      <c r="V93">
        <v>119</v>
      </c>
      <c r="W93">
        <v>555</v>
      </c>
      <c r="X93">
        <v>503</v>
      </c>
      <c r="Y93">
        <v>421</v>
      </c>
      <c r="Z93">
        <f t="shared" si="14"/>
        <v>363</v>
      </c>
      <c r="AA93">
        <v>304</v>
      </c>
      <c r="AB93">
        <f t="shared" si="15"/>
        <v>212</v>
      </c>
      <c r="AC93">
        <v>119</v>
      </c>
    </row>
    <row r="94" spans="1:29" x14ac:dyDescent="0.25">
      <c r="A94" t="s">
        <v>102</v>
      </c>
      <c r="B94">
        <v>684</v>
      </c>
      <c r="C94">
        <v>610</v>
      </c>
      <c r="D94">
        <v>501</v>
      </c>
      <c r="E94">
        <f t="shared" si="8"/>
        <v>426</v>
      </c>
      <c r="F94">
        <v>351</v>
      </c>
      <c r="G94">
        <f t="shared" si="9"/>
        <v>240</v>
      </c>
      <c r="H94">
        <v>128</v>
      </c>
      <c r="I94">
        <v>684</v>
      </c>
      <c r="J94">
        <v>610</v>
      </c>
      <c r="K94">
        <v>501</v>
      </c>
      <c r="L94">
        <f t="shared" si="10"/>
        <v>426</v>
      </c>
      <c r="M94">
        <v>351</v>
      </c>
      <c r="N94">
        <f t="shared" si="11"/>
        <v>240</v>
      </c>
      <c r="O94">
        <v>128</v>
      </c>
      <c r="P94">
        <v>513</v>
      </c>
      <c r="Q94">
        <v>466</v>
      </c>
      <c r="R94">
        <v>392</v>
      </c>
      <c r="S94">
        <f t="shared" si="12"/>
        <v>339</v>
      </c>
      <c r="T94">
        <v>285</v>
      </c>
      <c r="U94">
        <f t="shared" si="13"/>
        <v>199</v>
      </c>
      <c r="V94">
        <v>112</v>
      </c>
      <c r="W94">
        <v>513</v>
      </c>
      <c r="X94">
        <v>466</v>
      </c>
      <c r="Y94">
        <v>392</v>
      </c>
      <c r="Z94">
        <f t="shared" si="14"/>
        <v>339</v>
      </c>
      <c r="AA94">
        <v>285</v>
      </c>
      <c r="AB94">
        <f t="shared" si="15"/>
        <v>199</v>
      </c>
      <c r="AC94">
        <v>112</v>
      </c>
    </row>
    <row r="95" spans="1:29" x14ac:dyDescent="0.25">
      <c r="A95" t="s">
        <v>103</v>
      </c>
      <c r="B95">
        <v>627</v>
      </c>
      <c r="C95">
        <v>562</v>
      </c>
      <c r="D95">
        <v>465</v>
      </c>
      <c r="E95">
        <f t="shared" si="8"/>
        <v>399</v>
      </c>
      <c r="F95">
        <v>332</v>
      </c>
      <c r="G95">
        <f t="shared" si="9"/>
        <v>227</v>
      </c>
      <c r="H95">
        <v>122</v>
      </c>
      <c r="I95">
        <v>627</v>
      </c>
      <c r="J95">
        <v>562</v>
      </c>
      <c r="K95">
        <v>465</v>
      </c>
      <c r="L95">
        <f t="shared" si="10"/>
        <v>399</v>
      </c>
      <c r="M95">
        <v>332</v>
      </c>
      <c r="N95">
        <f t="shared" si="11"/>
        <v>227</v>
      </c>
      <c r="O95">
        <v>122</v>
      </c>
      <c r="P95">
        <v>470</v>
      </c>
      <c r="Q95">
        <v>430</v>
      </c>
      <c r="R95">
        <v>364</v>
      </c>
      <c r="S95">
        <f t="shared" si="12"/>
        <v>317</v>
      </c>
      <c r="T95">
        <v>270</v>
      </c>
      <c r="U95">
        <f t="shared" si="13"/>
        <v>189</v>
      </c>
      <c r="V95">
        <v>107</v>
      </c>
      <c r="W95">
        <v>470</v>
      </c>
      <c r="X95">
        <v>430</v>
      </c>
      <c r="Y95">
        <v>364</v>
      </c>
      <c r="Z95">
        <f t="shared" si="14"/>
        <v>317</v>
      </c>
      <c r="AA95">
        <v>270</v>
      </c>
      <c r="AB95">
        <f t="shared" si="15"/>
        <v>189</v>
      </c>
      <c r="AC95">
        <v>107</v>
      </c>
    </row>
    <row r="96" spans="1:29" x14ac:dyDescent="0.25">
      <c r="A96" t="s">
        <v>104</v>
      </c>
      <c r="B96">
        <v>568</v>
      </c>
      <c r="C96">
        <v>512</v>
      </c>
      <c r="D96">
        <v>426</v>
      </c>
      <c r="E96">
        <f t="shared" si="8"/>
        <v>367</v>
      </c>
      <c r="F96">
        <v>307</v>
      </c>
      <c r="G96">
        <f t="shared" si="9"/>
        <v>210</v>
      </c>
      <c r="H96">
        <v>113</v>
      </c>
      <c r="I96">
        <v>568</v>
      </c>
      <c r="J96">
        <v>512</v>
      </c>
      <c r="K96">
        <v>426</v>
      </c>
      <c r="L96">
        <f t="shared" si="10"/>
        <v>367</v>
      </c>
      <c r="M96">
        <v>307</v>
      </c>
      <c r="N96">
        <f t="shared" si="11"/>
        <v>210</v>
      </c>
      <c r="O96">
        <v>113</v>
      </c>
      <c r="P96">
        <v>426</v>
      </c>
      <c r="Q96">
        <v>392</v>
      </c>
      <c r="R96">
        <v>333</v>
      </c>
      <c r="S96">
        <f t="shared" si="12"/>
        <v>292</v>
      </c>
      <c r="T96">
        <v>250</v>
      </c>
      <c r="U96">
        <f t="shared" si="13"/>
        <v>175</v>
      </c>
      <c r="V96">
        <v>99</v>
      </c>
      <c r="W96">
        <v>426</v>
      </c>
      <c r="X96">
        <v>392</v>
      </c>
      <c r="Y96">
        <v>333</v>
      </c>
      <c r="Z96">
        <f t="shared" si="14"/>
        <v>292</v>
      </c>
      <c r="AA96">
        <v>250</v>
      </c>
      <c r="AB96">
        <f t="shared" si="15"/>
        <v>175</v>
      </c>
      <c r="AC96">
        <v>99</v>
      </c>
    </row>
    <row r="97" spans="1:29" x14ac:dyDescent="0.25">
      <c r="A97" t="s">
        <v>105</v>
      </c>
      <c r="B97">
        <v>507</v>
      </c>
      <c r="C97">
        <v>458</v>
      </c>
      <c r="D97">
        <v>385</v>
      </c>
      <c r="E97">
        <f t="shared" si="8"/>
        <v>332</v>
      </c>
      <c r="F97">
        <v>278</v>
      </c>
      <c r="G97">
        <f t="shared" si="9"/>
        <v>190</v>
      </c>
      <c r="H97">
        <v>102</v>
      </c>
      <c r="I97">
        <v>507</v>
      </c>
      <c r="J97">
        <v>458</v>
      </c>
      <c r="K97">
        <v>385</v>
      </c>
      <c r="L97">
        <f t="shared" si="10"/>
        <v>332</v>
      </c>
      <c r="M97">
        <v>278</v>
      </c>
      <c r="N97">
        <f t="shared" si="11"/>
        <v>190</v>
      </c>
      <c r="O97">
        <v>102</v>
      </c>
      <c r="P97">
        <v>380</v>
      </c>
      <c r="Q97">
        <v>351</v>
      </c>
      <c r="R97">
        <v>301</v>
      </c>
      <c r="S97">
        <f t="shared" si="12"/>
        <v>264</v>
      </c>
      <c r="T97">
        <v>226</v>
      </c>
      <c r="U97">
        <f t="shared" si="13"/>
        <v>158</v>
      </c>
      <c r="V97">
        <v>89</v>
      </c>
      <c r="W97">
        <v>380</v>
      </c>
      <c r="X97">
        <v>351</v>
      </c>
      <c r="Y97">
        <v>301</v>
      </c>
      <c r="Z97">
        <f t="shared" si="14"/>
        <v>264</v>
      </c>
      <c r="AA97">
        <v>226</v>
      </c>
      <c r="AB97">
        <f t="shared" si="15"/>
        <v>158</v>
      </c>
      <c r="AC97">
        <v>89</v>
      </c>
    </row>
    <row r="98" spans="1:29" x14ac:dyDescent="0.25">
      <c r="A98" t="s">
        <v>106</v>
      </c>
      <c r="B98">
        <v>440</v>
      </c>
      <c r="C98">
        <v>400</v>
      </c>
      <c r="D98">
        <v>338</v>
      </c>
      <c r="E98">
        <f t="shared" si="8"/>
        <v>293</v>
      </c>
      <c r="F98">
        <v>247</v>
      </c>
      <c r="G98">
        <f t="shared" si="9"/>
        <v>169</v>
      </c>
      <c r="H98">
        <v>91</v>
      </c>
      <c r="I98">
        <v>440</v>
      </c>
      <c r="J98">
        <v>400</v>
      </c>
      <c r="K98">
        <v>338</v>
      </c>
      <c r="L98">
        <f t="shared" si="10"/>
        <v>293</v>
      </c>
      <c r="M98">
        <v>247</v>
      </c>
      <c r="N98">
        <f t="shared" si="11"/>
        <v>169</v>
      </c>
      <c r="O98">
        <v>91</v>
      </c>
      <c r="P98">
        <v>330</v>
      </c>
      <c r="Q98">
        <v>306</v>
      </c>
      <c r="R98">
        <v>265</v>
      </c>
      <c r="S98">
        <f t="shared" si="12"/>
        <v>233</v>
      </c>
      <c r="T98">
        <v>201</v>
      </c>
      <c r="U98">
        <f t="shared" si="13"/>
        <v>140</v>
      </c>
      <c r="V98">
        <v>79</v>
      </c>
      <c r="W98">
        <v>330</v>
      </c>
      <c r="X98">
        <v>306</v>
      </c>
      <c r="Y98">
        <v>265</v>
      </c>
      <c r="Z98">
        <f t="shared" si="14"/>
        <v>233</v>
      </c>
      <c r="AA98">
        <v>201</v>
      </c>
      <c r="AB98">
        <f t="shared" si="15"/>
        <v>140</v>
      </c>
      <c r="AC98">
        <v>79</v>
      </c>
    </row>
    <row r="99" spans="1:29" x14ac:dyDescent="0.25">
      <c r="A99" t="s">
        <v>107</v>
      </c>
      <c r="B99">
        <v>676</v>
      </c>
      <c r="C99">
        <v>603</v>
      </c>
      <c r="D99">
        <v>495</v>
      </c>
      <c r="E99">
        <f t="shared" si="8"/>
        <v>421</v>
      </c>
      <c r="F99">
        <v>346</v>
      </c>
      <c r="G99">
        <f t="shared" si="9"/>
        <v>236</v>
      </c>
      <c r="H99">
        <v>126</v>
      </c>
      <c r="I99">
        <v>676</v>
      </c>
      <c r="J99">
        <v>603</v>
      </c>
      <c r="K99">
        <v>495</v>
      </c>
      <c r="L99">
        <f t="shared" si="10"/>
        <v>421</v>
      </c>
      <c r="M99">
        <v>346</v>
      </c>
      <c r="N99">
        <f t="shared" si="11"/>
        <v>236</v>
      </c>
      <c r="O99">
        <v>126</v>
      </c>
      <c r="P99">
        <v>507</v>
      </c>
      <c r="Q99">
        <v>461</v>
      </c>
      <c r="R99">
        <v>388</v>
      </c>
      <c r="S99">
        <f t="shared" si="12"/>
        <v>335</v>
      </c>
      <c r="T99">
        <v>281</v>
      </c>
      <c r="U99">
        <f t="shared" si="13"/>
        <v>196</v>
      </c>
      <c r="V99">
        <v>110</v>
      </c>
      <c r="W99">
        <v>507</v>
      </c>
      <c r="X99">
        <v>461</v>
      </c>
      <c r="Y99">
        <v>388</v>
      </c>
      <c r="Z99">
        <f t="shared" si="14"/>
        <v>335</v>
      </c>
      <c r="AA99">
        <v>281</v>
      </c>
      <c r="AB99">
        <f t="shared" si="15"/>
        <v>196</v>
      </c>
      <c r="AC99">
        <v>110</v>
      </c>
    </row>
    <row r="100" spans="1:29" x14ac:dyDescent="0.25">
      <c r="A100" t="s">
        <v>108</v>
      </c>
      <c r="B100">
        <v>619</v>
      </c>
      <c r="C100">
        <v>554</v>
      </c>
      <c r="D100">
        <v>458</v>
      </c>
      <c r="E100">
        <f t="shared" si="8"/>
        <v>393</v>
      </c>
      <c r="F100">
        <v>327</v>
      </c>
      <c r="G100">
        <f t="shared" si="9"/>
        <v>224</v>
      </c>
      <c r="H100">
        <v>121</v>
      </c>
      <c r="I100">
        <v>619</v>
      </c>
      <c r="J100">
        <v>554</v>
      </c>
      <c r="K100">
        <v>458</v>
      </c>
      <c r="L100">
        <f t="shared" si="10"/>
        <v>393</v>
      </c>
      <c r="M100">
        <v>327</v>
      </c>
      <c r="N100">
        <f t="shared" si="11"/>
        <v>224</v>
      </c>
      <c r="O100">
        <v>121</v>
      </c>
      <c r="P100">
        <v>464</v>
      </c>
      <c r="Q100">
        <v>424</v>
      </c>
      <c r="R100">
        <v>358</v>
      </c>
      <c r="S100">
        <f t="shared" si="12"/>
        <v>312</v>
      </c>
      <c r="T100">
        <v>266</v>
      </c>
      <c r="U100">
        <f t="shared" si="13"/>
        <v>186</v>
      </c>
      <c r="V100">
        <v>105</v>
      </c>
      <c r="W100">
        <v>464</v>
      </c>
      <c r="X100">
        <v>424</v>
      </c>
      <c r="Y100">
        <v>358</v>
      </c>
      <c r="Z100">
        <f t="shared" si="14"/>
        <v>312</v>
      </c>
      <c r="AA100">
        <v>266</v>
      </c>
      <c r="AB100">
        <f t="shared" si="15"/>
        <v>186</v>
      </c>
      <c r="AC100">
        <v>105</v>
      </c>
    </row>
    <row r="101" spans="1:29" x14ac:dyDescent="0.25">
      <c r="A101" t="s">
        <v>109</v>
      </c>
      <c r="B101">
        <v>561</v>
      </c>
      <c r="C101">
        <v>505</v>
      </c>
      <c r="D101">
        <v>420</v>
      </c>
      <c r="E101">
        <f t="shared" si="8"/>
        <v>361</v>
      </c>
      <c r="F101">
        <v>302</v>
      </c>
      <c r="G101">
        <f t="shared" si="9"/>
        <v>207</v>
      </c>
      <c r="H101">
        <v>111</v>
      </c>
      <c r="I101">
        <v>561</v>
      </c>
      <c r="J101">
        <v>505</v>
      </c>
      <c r="K101">
        <v>420</v>
      </c>
      <c r="L101">
        <f t="shared" si="10"/>
        <v>361</v>
      </c>
      <c r="M101">
        <v>302</v>
      </c>
      <c r="N101">
        <f t="shared" si="11"/>
        <v>207</v>
      </c>
      <c r="O101">
        <v>111</v>
      </c>
      <c r="P101">
        <v>421</v>
      </c>
      <c r="Q101">
        <v>386</v>
      </c>
      <c r="R101">
        <v>329</v>
      </c>
      <c r="S101">
        <f t="shared" si="12"/>
        <v>287</v>
      </c>
      <c r="T101">
        <v>245</v>
      </c>
      <c r="U101">
        <f t="shared" si="13"/>
        <v>171</v>
      </c>
      <c r="V101">
        <v>97</v>
      </c>
      <c r="W101">
        <v>421</v>
      </c>
      <c r="X101">
        <v>386</v>
      </c>
      <c r="Y101">
        <v>329</v>
      </c>
      <c r="Z101">
        <f t="shared" si="14"/>
        <v>287</v>
      </c>
      <c r="AA101">
        <v>245</v>
      </c>
      <c r="AB101">
        <f t="shared" si="15"/>
        <v>171</v>
      </c>
      <c r="AC101">
        <v>97</v>
      </c>
    </row>
    <row r="102" spans="1:29" x14ac:dyDescent="0.25">
      <c r="A102" t="s">
        <v>110</v>
      </c>
      <c r="B102">
        <v>501</v>
      </c>
      <c r="C102">
        <v>454</v>
      </c>
      <c r="D102">
        <v>380</v>
      </c>
      <c r="E102">
        <f t="shared" si="8"/>
        <v>328</v>
      </c>
      <c r="F102">
        <v>276</v>
      </c>
      <c r="G102">
        <f t="shared" si="9"/>
        <v>189</v>
      </c>
      <c r="H102">
        <v>102</v>
      </c>
      <c r="I102">
        <v>501</v>
      </c>
      <c r="J102">
        <v>454</v>
      </c>
      <c r="K102">
        <v>380</v>
      </c>
      <c r="L102">
        <f t="shared" si="10"/>
        <v>328</v>
      </c>
      <c r="M102">
        <v>276</v>
      </c>
      <c r="N102">
        <f t="shared" si="11"/>
        <v>189</v>
      </c>
      <c r="O102">
        <v>102</v>
      </c>
      <c r="P102">
        <v>376</v>
      </c>
      <c r="Q102">
        <v>347</v>
      </c>
      <c r="R102">
        <v>297</v>
      </c>
      <c r="S102">
        <f t="shared" si="12"/>
        <v>261</v>
      </c>
      <c r="T102">
        <v>224</v>
      </c>
      <c r="U102">
        <f t="shared" si="13"/>
        <v>157</v>
      </c>
      <c r="V102">
        <v>89</v>
      </c>
      <c r="W102">
        <v>376</v>
      </c>
      <c r="X102">
        <v>347</v>
      </c>
      <c r="Y102">
        <v>297</v>
      </c>
      <c r="Z102">
        <f t="shared" si="14"/>
        <v>261</v>
      </c>
      <c r="AA102">
        <v>224</v>
      </c>
      <c r="AB102">
        <f t="shared" si="15"/>
        <v>157</v>
      </c>
      <c r="AC102">
        <v>89</v>
      </c>
    </row>
    <row r="103" spans="1:29" x14ac:dyDescent="0.25">
      <c r="A103" t="s">
        <v>111</v>
      </c>
      <c r="B103">
        <v>435</v>
      </c>
      <c r="C103">
        <v>396</v>
      </c>
      <c r="D103">
        <v>335</v>
      </c>
      <c r="E103">
        <f t="shared" si="8"/>
        <v>290</v>
      </c>
      <c r="F103">
        <v>244</v>
      </c>
      <c r="G103">
        <f t="shared" si="9"/>
        <v>168</v>
      </c>
      <c r="H103">
        <v>91</v>
      </c>
      <c r="I103">
        <v>435</v>
      </c>
      <c r="J103">
        <v>396</v>
      </c>
      <c r="K103">
        <v>335</v>
      </c>
      <c r="L103">
        <f t="shared" si="10"/>
        <v>290</v>
      </c>
      <c r="M103">
        <v>244</v>
      </c>
      <c r="N103">
        <f t="shared" si="11"/>
        <v>168</v>
      </c>
      <c r="O103">
        <v>91</v>
      </c>
      <c r="P103">
        <v>326</v>
      </c>
      <c r="Q103">
        <v>303</v>
      </c>
      <c r="R103">
        <v>262</v>
      </c>
      <c r="S103">
        <f t="shared" si="12"/>
        <v>231</v>
      </c>
      <c r="T103">
        <v>199</v>
      </c>
      <c r="U103">
        <f t="shared" si="13"/>
        <v>139</v>
      </c>
      <c r="V103">
        <v>79</v>
      </c>
      <c r="W103">
        <v>326</v>
      </c>
      <c r="X103">
        <v>303</v>
      </c>
      <c r="Y103">
        <v>262</v>
      </c>
      <c r="Z103">
        <f t="shared" si="14"/>
        <v>231</v>
      </c>
      <c r="AA103">
        <v>199</v>
      </c>
      <c r="AB103">
        <f t="shared" si="15"/>
        <v>139</v>
      </c>
      <c r="AC103">
        <v>79</v>
      </c>
    </row>
    <row r="104" spans="1:29" x14ac:dyDescent="0.25">
      <c r="A104" t="s">
        <v>112</v>
      </c>
      <c r="B104">
        <v>611</v>
      </c>
      <c r="C104">
        <v>546</v>
      </c>
      <c r="D104">
        <v>450</v>
      </c>
      <c r="E104">
        <f t="shared" si="8"/>
        <v>386</v>
      </c>
      <c r="F104">
        <v>321</v>
      </c>
      <c r="G104">
        <f t="shared" si="9"/>
        <v>220</v>
      </c>
      <c r="H104">
        <v>118</v>
      </c>
      <c r="I104">
        <v>611</v>
      </c>
      <c r="J104">
        <v>546</v>
      </c>
      <c r="K104">
        <v>450</v>
      </c>
      <c r="L104">
        <f t="shared" si="10"/>
        <v>386</v>
      </c>
      <c r="M104">
        <v>321</v>
      </c>
      <c r="N104">
        <f t="shared" si="11"/>
        <v>220</v>
      </c>
      <c r="O104">
        <v>118</v>
      </c>
      <c r="P104">
        <v>458</v>
      </c>
      <c r="Q104">
        <v>418</v>
      </c>
      <c r="R104">
        <v>353</v>
      </c>
      <c r="S104">
        <f t="shared" si="12"/>
        <v>307</v>
      </c>
      <c r="T104">
        <v>261</v>
      </c>
      <c r="U104">
        <f t="shared" si="13"/>
        <v>182</v>
      </c>
      <c r="V104">
        <v>103</v>
      </c>
      <c r="W104">
        <v>458</v>
      </c>
      <c r="X104">
        <v>418</v>
      </c>
      <c r="Y104">
        <v>353</v>
      </c>
      <c r="Z104">
        <f t="shared" si="14"/>
        <v>307</v>
      </c>
      <c r="AA104">
        <v>261</v>
      </c>
      <c r="AB104">
        <f t="shared" si="15"/>
        <v>182</v>
      </c>
      <c r="AC104">
        <v>103</v>
      </c>
    </row>
    <row r="105" spans="1:29" x14ac:dyDescent="0.25">
      <c r="A105" t="s">
        <v>113</v>
      </c>
      <c r="B105">
        <v>552</v>
      </c>
      <c r="C105">
        <v>497</v>
      </c>
      <c r="D105">
        <v>412</v>
      </c>
      <c r="E105">
        <f t="shared" si="8"/>
        <v>355</v>
      </c>
      <c r="F105">
        <v>297</v>
      </c>
      <c r="G105">
        <f t="shared" si="9"/>
        <v>204</v>
      </c>
      <c r="H105">
        <v>110</v>
      </c>
      <c r="I105">
        <v>552</v>
      </c>
      <c r="J105">
        <v>497</v>
      </c>
      <c r="K105">
        <v>412</v>
      </c>
      <c r="L105">
        <f t="shared" si="10"/>
        <v>355</v>
      </c>
      <c r="M105">
        <v>297</v>
      </c>
      <c r="N105">
        <f t="shared" si="11"/>
        <v>204</v>
      </c>
      <c r="O105">
        <v>110</v>
      </c>
      <c r="P105">
        <v>414</v>
      </c>
      <c r="Q105">
        <v>380</v>
      </c>
      <c r="R105">
        <v>323</v>
      </c>
      <c r="S105">
        <f t="shared" si="12"/>
        <v>282</v>
      </c>
      <c r="T105">
        <v>241</v>
      </c>
      <c r="U105">
        <f t="shared" si="13"/>
        <v>169</v>
      </c>
      <c r="V105">
        <v>96</v>
      </c>
      <c r="W105">
        <v>414</v>
      </c>
      <c r="X105">
        <v>380</v>
      </c>
      <c r="Y105">
        <v>323</v>
      </c>
      <c r="Z105">
        <f t="shared" si="14"/>
        <v>282</v>
      </c>
      <c r="AA105">
        <v>241</v>
      </c>
      <c r="AB105">
        <f t="shared" si="15"/>
        <v>169</v>
      </c>
      <c r="AC105">
        <v>96</v>
      </c>
    </row>
    <row r="106" spans="1:29" x14ac:dyDescent="0.25">
      <c r="A106" t="s">
        <v>114</v>
      </c>
      <c r="B106">
        <v>493</v>
      </c>
      <c r="C106">
        <v>446</v>
      </c>
      <c r="D106">
        <v>372</v>
      </c>
      <c r="E106">
        <f t="shared" si="8"/>
        <v>322</v>
      </c>
      <c r="F106">
        <v>271</v>
      </c>
      <c r="G106">
        <f t="shared" si="9"/>
        <v>186</v>
      </c>
      <c r="H106">
        <v>101</v>
      </c>
      <c r="I106">
        <v>493</v>
      </c>
      <c r="J106">
        <v>446</v>
      </c>
      <c r="K106">
        <v>372</v>
      </c>
      <c r="L106">
        <f t="shared" si="10"/>
        <v>322</v>
      </c>
      <c r="M106">
        <v>271</v>
      </c>
      <c r="N106">
        <f t="shared" si="11"/>
        <v>186</v>
      </c>
      <c r="O106">
        <v>101</v>
      </c>
      <c r="P106">
        <v>370</v>
      </c>
      <c r="Q106">
        <v>341</v>
      </c>
      <c r="R106">
        <v>291</v>
      </c>
      <c r="S106">
        <f t="shared" si="12"/>
        <v>256</v>
      </c>
      <c r="T106">
        <v>220</v>
      </c>
      <c r="U106">
        <f t="shared" si="13"/>
        <v>154</v>
      </c>
      <c r="V106">
        <v>88</v>
      </c>
      <c r="W106">
        <v>370</v>
      </c>
      <c r="X106">
        <v>341</v>
      </c>
      <c r="Y106">
        <v>291</v>
      </c>
      <c r="Z106">
        <f t="shared" si="14"/>
        <v>256</v>
      </c>
      <c r="AA106">
        <v>220</v>
      </c>
      <c r="AB106">
        <f t="shared" si="15"/>
        <v>154</v>
      </c>
      <c r="AC106">
        <v>88</v>
      </c>
    </row>
    <row r="107" spans="1:29" x14ac:dyDescent="0.25">
      <c r="A107" t="s">
        <v>115</v>
      </c>
      <c r="B107">
        <v>430</v>
      </c>
      <c r="C107">
        <v>392</v>
      </c>
      <c r="D107">
        <v>330</v>
      </c>
      <c r="E107">
        <f t="shared" si="8"/>
        <v>286</v>
      </c>
      <c r="F107">
        <v>242</v>
      </c>
      <c r="G107">
        <f t="shared" si="9"/>
        <v>167</v>
      </c>
      <c r="H107">
        <v>91</v>
      </c>
      <c r="I107">
        <v>430</v>
      </c>
      <c r="J107">
        <v>392</v>
      </c>
      <c r="K107">
        <v>330</v>
      </c>
      <c r="L107">
        <f t="shared" si="10"/>
        <v>286</v>
      </c>
      <c r="M107">
        <v>242</v>
      </c>
      <c r="N107">
        <f t="shared" si="11"/>
        <v>167</v>
      </c>
      <c r="O107">
        <v>91</v>
      </c>
      <c r="P107">
        <v>322</v>
      </c>
      <c r="Q107">
        <v>300</v>
      </c>
      <c r="R107">
        <v>258</v>
      </c>
      <c r="S107">
        <f t="shared" si="12"/>
        <v>228</v>
      </c>
      <c r="T107">
        <v>197</v>
      </c>
      <c r="U107">
        <f t="shared" si="13"/>
        <v>138</v>
      </c>
      <c r="V107">
        <v>79</v>
      </c>
      <c r="W107">
        <v>322</v>
      </c>
      <c r="X107">
        <v>300</v>
      </c>
      <c r="Y107">
        <v>258</v>
      </c>
      <c r="Z107">
        <f t="shared" si="14"/>
        <v>228</v>
      </c>
      <c r="AA107">
        <v>197</v>
      </c>
      <c r="AB107">
        <f t="shared" si="15"/>
        <v>138</v>
      </c>
      <c r="AC107">
        <v>79</v>
      </c>
    </row>
    <row r="108" spans="1:29" x14ac:dyDescent="0.25">
      <c r="A108" t="s">
        <v>116</v>
      </c>
      <c r="B108">
        <v>544</v>
      </c>
      <c r="C108">
        <v>488</v>
      </c>
      <c r="D108">
        <v>405</v>
      </c>
      <c r="E108">
        <f t="shared" si="8"/>
        <v>348</v>
      </c>
      <c r="F108">
        <v>291</v>
      </c>
      <c r="G108">
        <f t="shared" si="9"/>
        <v>199</v>
      </c>
      <c r="H108">
        <v>107</v>
      </c>
      <c r="I108">
        <v>544</v>
      </c>
      <c r="J108">
        <v>488</v>
      </c>
      <c r="K108">
        <v>405</v>
      </c>
      <c r="L108">
        <f t="shared" si="10"/>
        <v>348</v>
      </c>
      <c r="M108">
        <v>291</v>
      </c>
      <c r="N108">
        <f t="shared" si="11"/>
        <v>199</v>
      </c>
      <c r="O108">
        <v>107</v>
      </c>
      <c r="P108">
        <v>407</v>
      </c>
      <c r="Q108">
        <v>373</v>
      </c>
      <c r="R108">
        <v>317</v>
      </c>
      <c r="S108">
        <f t="shared" si="12"/>
        <v>277</v>
      </c>
      <c r="T108">
        <v>236</v>
      </c>
      <c r="U108">
        <f t="shared" si="13"/>
        <v>165</v>
      </c>
      <c r="V108">
        <v>94</v>
      </c>
      <c r="W108">
        <v>407</v>
      </c>
      <c r="X108">
        <v>373</v>
      </c>
      <c r="Y108">
        <v>317</v>
      </c>
      <c r="Z108">
        <f t="shared" si="14"/>
        <v>277</v>
      </c>
      <c r="AA108">
        <v>236</v>
      </c>
      <c r="AB108">
        <f t="shared" si="15"/>
        <v>165</v>
      </c>
      <c r="AC108">
        <v>94</v>
      </c>
    </row>
    <row r="109" spans="1:29" x14ac:dyDescent="0.25">
      <c r="A109" t="s">
        <v>117</v>
      </c>
      <c r="B109">
        <v>484</v>
      </c>
      <c r="C109">
        <v>437</v>
      </c>
      <c r="D109">
        <v>365</v>
      </c>
      <c r="E109">
        <f t="shared" si="8"/>
        <v>315</v>
      </c>
      <c r="F109">
        <v>265</v>
      </c>
      <c r="G109">
        <f t="shared" si="9"/>
        <v>182</v>
      </c>
      <c r="H109">
        <v>99</v>
      </c>
      <c r="I109">
        <v>484</v>
      </c>
      <c r="J109">
        <v>437</v>
      </c>
      <c r="K109">
        <v>365</v>
      </c>
      <c r="L109">
        <f t="shared" si="10"/>
        <v>315</v>
      </c>
      <c r="M109">
        <v>265</v>
      </c>
      <c r="N109">
        <f t="shared" si="11"/>
        <v>182</v>
      </c>
      <c r="O109">
        <v>99</v>
      </c>
      <c r="P109">
        <v>363</v>
      </c>
      <c r="Q109">
        <v>335</v>
      </c>
      <c r="R109">
        <v>286</v>
      </c>
      <c r="S109">
        <f t="shared" si="12"/>
        <v>251</v>
      </c>
      <c r="T109">
        <v>215</v>
      </c>
      <c r="U109">
        <f t="shared" si="13"/>
        <v>151</v>
      </c>
      <c r="V109">
        <v>86</v>
      </c>
      <c r="W109">
        <v>363</v>
      </c>
      <c r="X109">
        <v>335</v>
      </c>
      <c r="Y109">
        <v>286</v>
      </c>
      <c r="Z109">
        <f t="shared" si="14"/>
        <v>251</v>
      </c>
      <c r="AA109">
        <v>215</v>
      </c>
      <c r="AB109">
        <f t="shared" si="15"/>
        <v>151</v>
      </c>
      <c r="AC109">
        <v>86</v>
      </c>
    </row>
    <row r="110" spans="1:29" x14ac:dyDescent="0.25">
      <c r="A110" t="s">
        <v>118</v>
      </c>
      <c r="B110">
        <v>424</v>
      </c>
      <c r="C110">
        <v>385</v>
      </c>
      <c r="D110">
        <v>325</v>
      </c>
      <c r="E110">
        <f t="shared" si="8"/>
        <v>282</v>
      </c>
      <c r="F110">
        <v>238</v>
      </c>
      <c r="G110">
        <f t="shared" si="9"/>
        <v>164</v>
      </c>
      <c r="H110">
        <v>90</v>
      </c>
      <c r="I110">
        <v>424</v>
      </c>
      <c r="J110">
        <v>385</v>
      </c>
      <c r="K110">
        <v>325</v>
      </c>
      <c r="L110">
        <f t="shared" si="10"/>
        <v>282</v>
      </c>
      <c r="M110">
        <v>238</v>
      </c>
      <c r="N110">
        <f t="shared" si="11"/>
        <v>164</v>
      </c>
      <c r="O110">
        <v>90</v>
      </c>
      <c r="P110">
        <v>318</v>
      </c>
      <c r="Q110">
        <v>295</v>
      </c>
      <c r="R110">
        <v>254</v>
      </c>
      <c r="S110">
        <f t="shared" si="12"/>
        <v>224</v>
      </c>
      <c r="T110">
        <v>194</v>
      </c>
      <c r="U110">
        <f t="shared" si="13"/>
        <v>136</v>
      </c>
      <c r="V110">
        <v>78</v>
      </c>
      <c r="W110">
        <v>318</v>
      </c>
      <c r="X110">
        <v>295</v>
      </c>
      <c r="Y110">
        <v>254</v>
      </c>
      <c r="Z110">
        <f t="shared" si="14"/>
        <v>224</v>
      </c>
      <c r="AA110">
        <v>194</v>
      </c>
      <c r="AB110">
        <f t="shared" si="15"/>
        <v>136</v>
      </c>
      <c r="AC110">
        <v>78</v>
      </c>
    </row>
    <row r="111" spans="1:29" x14ac:dyDescent="0.25">
      <c r="A111" t="s">
        <v>119</v>
      </c>
      <c r="B111">
        <v>475</v>
      </c>
      <c r="C111">
        <v>429</v>
      </c>
      <c r="D111">
        <v>358</v>
      </c>
      <c r="E111">
        <f t="shared" si="8"/>
        <v>308</v>
      </c>
      <c r="F111">
        <v>258</v>
      </c>
      <c r="G111">
        <f t="shared" si="9"/>
        <v>178</v>
      </c>
      <c r="H111">
        <v>97</v>
      </c>
      <c r="I111">
        <v>475</v>
      </c>
      <c r="J111">
        <v>429</v>
      </c>
      <c r="K111">
        <v>358</v>
      </c>
      <c r="L111">
        <f t="shared" si="10"/>
        <v>308</v>
      </c>
      <c r="M111">
        <v>258</v>
      </c>
      <c r="N111">
        <f t="shared" si="11"/>
        <v>178</v>
      </c>
      <c r="O111">
        <v>97</v>
      </c>
      <c r="P111">
        <v>356</v>
      </c>
      <c r="Q111">
        <v>328</v>
      </c>
      <c r="R111">
        <v>280</v>
      </c>
      <c r="S111">
        <f t="shared" si="12"/>
        <v>245</v>
      </c>
      <c r="T111">
        <v>210</v>
      </c>
      <c r="U111">
        <f t="shared" si="13"/>
        <v>147</v>
      </c>
      <c r="V111">
        <v>84</v>
      </c>
      <c r="W111">
        <v>356</v>
      </c>
      <c r="X111">
        <v>328</v>
      </c>
      <c r="Y111">
        <v>280</v>
      </c>
      <c r="Z111">
        <f t="shared" si="14"/>
        <v>245</v>
      </c>
      <c r="AA111">
        <v>210</v>
      </c>
      <c r="AB111">
        <f t="shared" si="15"/>
        <v>147</v>
      </c>
      <c r="AC111">
        <v>84</v>
      </c>
    </row>
    <row r="112" spans="1:29" x14ac:dyDescent="0.25">
      <c r="A112" t="s">
        <v>120</v>
      </c>
      <c r="B112">
        <v>415</v>
      </c>
      <c r="C112">
        <v>376</v>
      </c>
      <c r="D112">
        <v>316</v>
      </c>
      <c r="E112">
        <f t="shared" si="8"/>
        <v>274</v>
      </c>
      <c r="F112">
        <v>232</v>
      </c>
      <c r="G112">
        <f t="shared" si="9"/>
        <v>160</v>
      </c>
      <c r="H112">
        <v>87</v>
      </c>
      <c r="I112">
        <v>415</v>
      </c>
      <c r="J112">
        <v>376</v>
      </c>
      <c r="K112">
        <v>316</v>
      </c>
      <c r="L112">
        <f t="shared" si="10"/>
        <v>274</v>
      </c>
      <c r="M112">
        <v>232</v>
      </c>
      <c r="N112">
        <f t="shared" si="11"/>
        <v>160</v>
      </c>
      <c r="O112">
        <v>87</v>
      </c>
      <c r="P112">
        <v>311</v>
      </c>
      <c r="Q112">
        <v>288</v>
      </c>
      <c r="R112">
        <v>248</v>
      </c>
      <c r="S112">
        <f t="shared" si="12"/>
        <v>218</v>
      </c>
      <c r="T112">
        <v>188</v>
      </c>
      <c r="U112">
        <f t="shared" si="13"/>
        <v>132</v>
      </c>
      <c r="V112">
        <v>76</v>
      </c>
      <c r="W112">
        <v>311</v>
      </c>
      <c r="X112">
        <v>288</v>
      </c>
      <c r="Y112">
        <v>248</v>
      </c>
      <c r="Z112">
        <f t="shared" si="14"/>
        <v>218</v>
      </c>
      <c r="AA112">
        <v>188</v>
      </c>
      <c r="AB112">
        <f t="shared" si="15"/>
        <v>132</v>
      </c>
      <c r="AC112">
        <v>76</v>
      </c>
    </row>
    <row r="113" spans="1:29" x14ac:dyDescent="0.25">
      <c r="A113" t="s">
        <v>121</v>
      </c>
      <c r="B113">
        <v>405</v>
      </c>
      <c r="C113">
        <v>367</v>
      </c>
      <c r="D113">
        <v>308</v>
      </c>
      <c r="E113">
        <f t="shared" si="8"/>
        <v>267</v>
      </c>
      <c r="F113">
        <v>226</v>
      </c>
      <c r="G113">
        <f t="shared" si="9"/>
        <v>156</v>
      </c>
      <c r="H113">
        <v>85</v>
      </c>
      <c r="I113">
        <v>405</v>
      </c>
      <c r="J113">
        <v>367</v>
      </c>
      <c r="K113">
        <v>308</v>
      </c>
      <c r="L113">
        <f t="shared" si="10"/>
        <v>267</v>
      </c>
      <c r="M113">
        <v>226</v>
      </c>
      <c r="N113">
        <f t="shared" si="11"/>
        <v>156</v>
      </c>
      <c r="O113">
        <v>85</v>
      </c>
      <c r="P113">
        <v>303</v>
      </c>
      <c r="Q113">
        <v>281</v>
      </c>
      <c r="R113">
        <v>241</v>
      </c>
      <c r="S113">
        <f t="shared" si="12"/>
        <v>212</v>
      </c>
      <c r="T113">
        <v>183</v>
      </c>
      <c r="U113">
        <f t="shared" si="13"/>
        <v>129</v>
      </c>
      <c r="V113">
        <v>74</v>
      </c>
      <c r="W113">
        <v>303</v>
      </c>
      <c r="X113">
        <v>281</v>
      </c>
      <c r="Y113">
        <v>241</v>
      </c>
      <c r="Z113">
        <f t="shared" si="14"/>
        <v>212</v>
      </c>
      <c r="AA113">
        <v>183</v>
      </c>
      <c r="AB113">
        <f t="shared" si="15"/>
        <v>129</v>
      </c>
      <c r="AC113">
        <v>74</v>
      </c>
    </row>
    <row r="114" spans="1:29" x14ac:dyDescent="0.25">
      <c r="A114" t="s">
        <v>122</v>
      </c>
      <c r="B114">
        <v>1417</v>
      </c>
      <c r="C114">
        <v>1238</v>
      </c>
      <c r="D114">
        <v>1005</v>
      </c>
      <c r="E114">
        <f t="shared" si="8"/>
        <v>856</v>
      </c>
      <c r="F114">
        <v>707</v>
      </c>
      <c r="G114">
        <f t="shared" si="9"/>
        <v>489</v>
      </c>
      <c r="H114">
        <v>270</v>
      </c>
      <c r="I114">
        <v>1067</v>
      </c>
      <c r="J114">
        <v>926</v>
      </c>
      <c r="K114">
        <v>745</v>
      </c>
      <c r="L114">
        <f t="shared" si="10"/>
        <v>632</v>
      </c>
      <c r="M114">
        <v>519</v>
      </c>
      <c r="N114">
        <f t="shared" si="11"/>
        <v>358</v>
      </c>
      <c r="O114">
        <v>196</v>
      </c>
      <c r="P114">
        <v>1062</v>
      </c>
      <c r="Q114">
        <v>948</v>
      </c>
      <c r="R114">
        <v>787</v>
      </c>
      <c r="S114">
        <f t="shared" si="12"/>
        <v>681</v>
      </c>
      <c r="T114">
        <v>574</v>
      </c>
      <c r="U114">
        <f t="shared" si="13"/>
        <v>405</v>
      </c>
      <c r="V114">
        <v>236</v>
      </c>
      <c r="W114">
        <v>800</v>
      </c>
      <c r="X114">
        <v>709</v>
      </c>
      <c r="Y114">
        <v>583</v>
      </c>
      <c r="Z114">
        <f t="shared" si="14"/>
        <v>502</v>
      </c>
      <c r="AA114">
        <v>421</v>
      </c>
      <c r="AB114">
        <f t="shared" si="15"/>
        <v>296</v>
      </c>
      <c r="AC114">
        <v>171</v>
      </c>
    </row>
    <row r="115" spans="1:29" x14ac:dyDescent="0.25">
      <c r="A115" t="s">
        <v>123</v>
      </c>
      <c r="B115">
        <v>1300</v>
      </c>
      <c r="C115">
        <v>1143</v>
      </c>
      <c r="D115">
        <v>932</v>
      </c>
      <c r="E115">
        <f t="shared" si="8"/>
        <v>795</v>
      </c>
      <c r="F115">
        <v>658</v>
      </c>
      <c r="G115">
        <f t="shared" si="9"/>
        <v>455</v>
      </c>
      <c r="H115">
        <v>251</v>
      </c>
      <c r="I115">
        <v>1015</v>
      </c>
      <c r="J115">
        <v>883</v>
      </c>
      <c r="K115">
        <v>713</v>
      </c>
      <c r="L115">
        <f t="shared" si="10"/>
        <v>606</v>
      </c>
      <c r="M115">
        <v>498</v>
      </c>
      <c r="N115">
        <f t="shared" si="11"/>
        <v>343</v>
      </c>
      <c r="O115">
        <v>187</v>
      </c>
      <c r="P115">
        <v>975</v>
      </c>
      <c r="Q115">
        <v>875</v>
      </c>
      <c r="R115">
        <v>730</v>
      </c>
      <c r="S115">
        <f t="shared" si="12"/>
        <v>633</v>
      </c>
      <c r="T115">
        <v>535</v>
      </c>
      <c r="U115">
        <f t="shared" si="13"/>
        <v>377</v>
      </c>
      <c r="V115">
        <v>219</v>
      </c>
      <c r="W115">
        <v>761</v>
      </c>
      <c r="X115">
        <v>676</v>
      </c>
      <c r="Y115">
        <v>558</v>
      </c>
      <c r="Z115">
        <f t="shared" si="14"/>
        <v>482</v>
      </c>
      <c r="AA115">
        <v>405</v>
      </c>
      <c r="AB115">
        <f t="shared" si="15"/>
        <v>284</v>
      </c>
      <c r="AC115">
        <v>163</v>
      </c>
    </row>
    <row r="116" spans="1:29" x14ac:dyDescent="0.25">
      <c r="A116" t="s">
        <v>124</v>
      </c>
      <c r="B116">
        <v>1181</v>
      </c>
      <c r="C116">
        <v>1043</v>
      </c>
      <c r="D116">
        <v>855</v>
      </c>
      <c r="E116">
        <f t="shared" si="8"/>
        <v>731</v>
      </c>
      <c r="F116">
        <v>607</v>
      </c>
      <c r="G116">
        <f t="shared" si="9"/>
        <v>419</v>
      </c>
      <c r="H116">
        <v>231</v>
      </c>
      <c r="I116">
        <v>965</v>
      </c>
      <c r="J116">
        <v>841</v>
      </c>
      <c r="K116">
        <v>680</v>
      </c>
      <c r="L116">
        <f t="shared" si="10"/>
        <v>578</v>
      </c>
      <c r="M116">
        <v>475</v>
      </c>
      <c r="N116">
        <f t="shared" si="11"/>
        <v>327</v>
      </c>
      <c r="O116">
        <v>178</v>
      </c>
      <c r="P116">
        <v>885</v>
      </c>
      <c r="Q116">
        <v>798</v>
      </c>
      <c r="R116">
        <v>670</v>
      </c>
      <c r="S116">
        <f t="shared" si="12"/>
        <v>582</v>
      </c>
      <c r="T116">
        <v>493</v>
      </c>
      <c r="U116">
        <f t="shared" si="13"/>
        <v>348</v>
      </c>
      <c r="V116">
        <v>202</v>
      </c>
      <c r="W116">
        <v>723</v>
      </c>
      <c r="X116">
        <v>644</v>
      </c>
      <c r="Y116">
        <v>533</v>
      </c>
      <c r="Z116">
        <f t="shared" si="14"/>
        <v>460</v>
      </c>
      <c r="AA116">
        <v>386</v>
      </c>
      <c r="AB116">
        <f t="shared" si="15"/>
        <v>271</v>
      </c>
      <c r="AC116">
        <v>155</v>
      </c>
    </row>
    <row r="117" spans="1:29" x14ac:dyDescent="0.25">
      <c r="A117" t="s">
        <v>125</v>
      </c>
      <c r="B117">
        <v>1066</v>
      </c>
      <c r="C117">
        <v>939</v>
      </c>
      <c r="D117">
        <v>774</v>
      </c>
      <c r="E117">
        <f t="shared" si="8"/>
        <v>664</v>
      </c>
      <c r="F117">
        <v>553</v>
      </c>
      <c r="G117">
        <f t="shared" si="9"/>
        <v>382</v>
      </c>
      <c r="H117">
        <v>210</v>
      </c>
      <c r="I117">
        <v>921</v>
      </c>
      <c r="J117">
        <v>798</v>
      </c>
      <c r="K117">
        <v>646</v>
      </c>
      <c r="L117">
        <f t="shared" si="10"/>
        <v>550</v>
      </c>
      <c r="M117">
        <v>453</v>
      </c>
      <c r="N117">
        <f t="shared" si="11"/>
        <v>311</v>
      </c>
      <c r="O117">
        <v>169</v>
      </c>
      <c r="P117">
        <v>799</v>
      </c>
      <c r="Q117">
        <v>719</v>
      </c>
      <c r="R117">
        <v>606</v>
      </c>
      <c r="S117">
        <f t="shared" si="12"/>
        <v>528</v>
      </c>
      <c r="T117">
        <v>449</v>
      </c>
      <c r="U117">
        <f t="shared" si="13"/>
        <v>316</v>
      </c>
      <c r="V117">
        <v>183</v>
      </c>
      <c r="W117">
        <v>690</v>
      </c>
      <c r="X117">
        <v>611</v>
      </c>
      <c r="Y117">
        <v>506</v>
      </c>
      <c r="Z117">
        <f t="shared" si="14"/>
        <v>437</v>
      </c>
      <c r="AA117">
        <v>368</v>
      </c>
      <c r="AB117">
        <f t="shared" si="15"/>
        <v>258</v>
      </c>
      <c r="AC117">
        <v>147</v>
      </c>
    </row>
    <row r="118" spans="1:29" x14ac:dyDescent="0.25">
      <c r="A118" t="s">
        <v>126</v>
      </c>
      <c r="B118">
        <v>929</v>
      </c>
      <c r="C118">
        <v>822</v>
      </c>
      <c r="D118">
        <v>684</v>
      </c>
      <c r="E118">
        <f t="shared" si="8"/>
        <v>587</v>
      </c>
      <c r="F118">
        <v>490</v>
      </c>
      <c r="G118">
        <f t="shared" si="9"/>
        <v>338</v>
      </c>
      <c r="H118">
        <v>186</v>
      </c>
      <c r="I118">
        <v>865</v>
      </c>
      <c r="J118">
        <v>751</v>
      </c>
      <c r="K118">
        <v>611</v>
      </c>
      <c r="L118">
        <f t="shared" si="10"/>
        <v>520</v>
      </c>
      <c r="M118">
        <v>429</v>
      </c>
      <c r="N118">
        <f t="shared" si="11"/>
        <v>294</v>
      </c>
      <c r="O118">
        <v>159</v>
      </c>
      <c r="P118">
        <v>696</v>
      </c>
      <c r="Q118">
        <v>629</v>
      </c>
      <c r="R118">
        <v>535</v>
      </c>
      <c r="S118">
        <f t="shared" si="12"/>
        <v>467</v>
      </c>
      <c r="T118">
        <v>398</v>
      </c>
      <c r="U118">
        <f t="shared" si="13"/>
        <v>280</v>
      </c>
      <c r="V118">
        <v>162</v>
      </c>
      <c r="W118">
        <v>648</v>
      </c>
      <c r="X118">
        <v>575</v>
      </c>
      <c r="Y118">
        <v>478</v>
      </c>
      <c r="Z118">
        <f t="shared" si="14"/>
        <v>413</v>
      </c>
      <c r="AA118">
        <v>348</v>
      </c>
      <c r="AB118">
        <f t="shared" si="15"/>
        <v>244</v>
      </c>
      <c r="AC118">
        <v>139</v>
      </c>
    </row>
    <row r="119" spans="1:29" x14ac:dyDescent="0.25">
      <c r="A119" t="s">
        <v>127</v>
      </c>
      <c r="B119">
        <v>833</v>
      </c>
      <c r="C119">
        <v>741</v>
      </c>
      <c r="D119">
        <v>597</v>
      </c>
      <c r="E119">
        <f t="shared" si="8"/>
        <v>509</v>
      </c>
      <c r="F119">
        <v>420</v>
      </c>
      <c r="G119">
        <f t="shared" si="9"/>
        <v>288</v>
      </c>
      <c r="H119">
        <v>156</v>
      </c>
      <c r="I119">
        <v>833</v>
      </c>
      <c r="J119">
        <v>741</v>
      </c>
      <c r="K119">
        <v>597</v>
      </c>
      <c r="L119">
        <f t="shared" si="10"/>
        <v>509</v>
      </c>
      <c r="M119">
        <v>420</v>
      </c>
      <c r="N119">
        <f t="shared" si="11"/>
        <v>288</v>
      </c>
      <c r="O119">
        <v>156</v>
      </c>
      <c r="P119">
        <v>625</v>
      </c>
      <c r="Q119">
        <v>567</v>
      </c>
      <c r="R119">
        <v>468</v>
      </c>
      <c r="S119">
        <f t="shared" si="12"/>
        <v>405</v>
      </c>
      <c r="T119">
        <v>341</v>
      </c>
      <c r="U119">
        <f t="shared" si="13"/>
        <v>239</v>
      </c>
      <c r="V119">
        <v>136</v>
      </c>
      <c r="W119">
        <v>625</v>
      </c>
      <c r="X119">
        <v>567</v>
      </c>
      <c r="Y119">
        <v>468</v>
      </c>
      <c r="Z119">
        <f t="shared" si="14"/>
        <v>405</v>
      </c>
      <c r="AA119">
        <v>341</v>
      </c>
      <c r="AB119">
        <f t="shared" si="15"/>
        <v>239</v>
      </c>
      <c r="AC119">
        <v>136</v>
      </c>
    </row>
    <row r="120" spans="1:29" x14ac:dyDescent="0.25">
      <c r="A120" t="s">
        <v>128</v>
      </c>
      <c r="B120">
        <v>777</v>
      </c>
      <c r="C120">
        <v>694</v>
      </c>
      <c r="D120">
        <v>564</v>
      </c>
      <c r="E120">
        <f t="shared" si="8"/>
        <v>480</v>
      </c>
      <c r="F120">
        <v>396</v>
      </c>
      <c r="G120">
        <f t="shared" si="9"/>
        <v>272</v>
      </c>
      <c r="H120">
        <v>147</v>
      </c>
      <c r="I120">
        <v>777</v>
      </c>
      <c r="J120">
        <v>694</v>
      </c>
      <c r="K120">
        <v>564</v>
      </c>
      <c r="L120">
        <f t="shared" si="10"/>
        <v>480</v>
      </c>
      <c r="M120">
        <v>396</v>
      </c>
      <c r="N120">
        <f t="shared" si="11"/>
        <v>272</v>
      </c>
      <c r="O120">
        <v>147</v>
      </c>
      <c r="P120">
        <v>582</v>
      </c>
      <c r="Q120">
        <v>531</v>
      </c>
      <c r="R120">
        <v>441</v>
      </c>
      <c r="S120">
        <f t="shared" si="12"/>
        <v>382</v>
      </c>
      <c r="T120">
        <v>322</v>
      </c>
      <c r="U120">
        <f t="shared" si="13"/>
        <v>225</v>
      </c>
      <c r="V120">
        <v>128</v>
      </c>
      <c r="W120">
        <v>582</v>
      </c>
      <c r="X120">
        <v>531</v>
      </c>
      <c r="Y120">
        <v>441</v>
      </c>
      <c r="Z120">
        <f t="shared" si="14"/>
        <v>382</v>
      </c>
      <c r="AA120">
        <v>322</v>
      </c>
      <c r="AB120">
        <f t="shared" si="15"/>
        <v>225</v>
      </c>
      <c r="AC120">
        <v>128</v>
      </c>
    </row>
    <row r="121" spans="1:29" x14ac:dyDescent="0.25">
      <c r="A121" t="s">
        <v>129</v>
      </c>
      <c r="B121">
        <v>1298</v>
      </c>
      <c r="C121">
        <v>1138</v>
      </c>
      <c r="D121">
        <v>927</v>
      </c>
      <c r="E121">
        <f t="shared" si="8"/>
        <v>790</v>
      </c>
      <c r="F121">
        <v>653</v>
      </c>
      <c r="G121">
        <f t="shared" si="9"/>
        <v>451</v>
      </c>
      <c r="H121">
        <v>248</v>
      </c>
      <c r="I121">
        <v>1016</v>
      </c>
      <c r="J121">
        <v>882</v>
      </c>
      <c r="K121">
        <v>710</v>
      </c>
      <c r="L121">
        <f t="shared" si="10"/>
        <v>603</v>
      </c>
      <c r="M121">
        <v>495</v>
      </c>
      <c r="N121">
        <f t="shared" si="11"/>
        <v>341</v>
      </c>
      <c r="O121">
        <v>186</v>
      </c>
      <c r="P121">
        <v>973</v>
      </c>
      <c r="Q121">
        <v>871</v>
      </c>
      <c r="R121">
        <v>726</v>
      </c>
      <c r="S121">
        <f t="shared" si="12"/>
        <v>628</v>
      </c>
      <c r="T121">
        <v>530</v>
      </c>
      <c r="U121">
        <f t="shared" si="13"/>
        <v>373</v>
      </c>
      <c r="V121">
        <v>216</v>
      </c>
      <c r="W121">
        <v>762</v>
      </c>
      <c r="X121">
        <v>675</v>
      </c>
      <c r="Y121">
        <v>556</v>
      </c>
      <c r="Z121">
        <f t="shared" si="14"/>
        <v>479</v>
      </c>
      <c r="AA121">
        <v>402</v>
      </c>
      <c r="AB121">
        <f t="shared" si="15"/>
        <v>282</v>
      </c>
      <c r="AC121">
        <v>162</v>
      </c>
    </row>
    <row r="122" spans="1:29" x14ac:dyDescent="0.25">
      <c r="A122" t="s">
        <v>130</v>
      </c>
      <c r="B122">
        <v>1177</v>
      </c>
      <c r="C122">
        <v>1037</v>
      </c>
      <c r="D122">
        <v>850</v>
      </c>
      <c r="E122">
        <f t="shared" si="8"/>
        <v>726</v>
      </c>
      <c r="F122">
        <v>602</v>
      </c>
      <c r="G122">
        <f t="shared" si="9"/>
        <v>416</v>
      </c>
      <c r="H122">
        <v>229</v>
      </c>
      <c r="I122">
        <v>963</v>
      </c>
      <c r="J122">
        <v>839</v>
      </c>
      <c r="K122">
        <v>678</v>
      </c>
      <c r="L122">
        <f t="shared" si="10"/>
        <v>576</v>
      </c>
      <c r="M122">
        <v>473</v>
      </c>
      <c r="N122">
        <f t="shared" si="11"/>
        <v>325</v>
      </c>
      <c r="O122">
        <v>177</v>
      </c>
      <c r="P122">
        <v>882</v>
      </c>
      <c r="Q122">
        <v>793</v>
      </c>
      <c r="R122">
        <v>665</v>
      </c>
      <c r="S122">
        <f t="shared" si="12"/>
        <v>577</v>
      </c>
      <c r="T122">
        <v>489</v>
      </c>
      <c r="U122">
        <f t="shared" si="13"/>
        <v>344</v>
      </c>
      <c r="V122">
        <v>199</v>
      </c>
      <c r="W122">
        <v>721</v>
      </c>
      <c r="X122">
        <v>641</v>
      </c>
      <c r="Y122">
        <v>531</v>
      </c>
      <c r="Z122">
        <f t="shared" si="14"/>
        <v>458</v>
      </c>
      <c r="AA122">
        <v>384</v>
      </c>
      <c r="AB122">
        <f t="shared" si="15"/>
        <v>269</v>
      </c>
      <c r="AC122">
        <v>153</v>
      </c>
    </row>
    <row r="123" spans="1:29" x14ac:dyDescent="0.25">
      <c r="A123" t="s">
        <v>131</v>
      </c>
      <c r="B123">
        <v>1060</v>
      </c>
      <c r="C123">
        <v>932</v>
      </c>
      <c r="D123">
        <v>768</v>
      </c>
      <c r="E123">
        <f t="shared" si="8"/>
        <v>658</v>
      </c>
      <c r="F123">
        <v>547</v>
      </c>
      <c r="G123">
        <f t="shared" si="9"/>
        <v>377</v>
      </c>
      <c r="H123">
        <v>207</v>
      </c>
      <c r="I123">
        <v>918</v>
      </c>
      <c r="J123">
        <v>795</v>
      </c>
      <c r="K123">
        <v>644</v>
      </c>
      <c r="L123">
        <f t="shared" si="10"/>
        <v>547</v>
      </c>
      <c r="M123">
        <v>450</v>
      </c>
      <c r="N123">
        <f t="shared" si="11"/>
        <v>309</v>
      </c>
      <c r="O123">
        <v>167</v>
      </c>
      <c r="P123">
        <v>795</v>
      </c>
      <c r="Q123">
        <v>713</v>
      </c>
      <c r="R123">
        <v>601</v>
      </c>
      <c r="S123">
        <f t="shared" si="12"/>
        <v>523</v>
      </c>
      <c r="T123">
        <v>444</v>
      </c>
      <c r="U123">
        <f t="shared" si="13"/>
        <v>312</v>
      </c>
      <c r="V123">
        <v>180</v>
      </c>
      <c r="W123">
        <v>688</v>
      </c>
      <c r="X123">
        <v>608</v>
      </c>
      <c r="Y123">
        <v>504</v>
      </c>
      <c r="Z123">
        <f t="shared" si="14"/>
        <v>435</v>
      </c>
      <c r="AA123">
        <v>366</v>
      </c>
      <c r="AB123">
        <f t="shared" si="15"/>
        <v>256</v>
      </c>
      <c r="AC123">
        <v>145</v>
      </c>
    </row>
    <row r="124" spans="1:29" x14ac:dyDescent="0.25">
      <c r="A124" t="s">
        <v>132</v>
      </c>
      <c r="B124">
        <v>925</v>
      </c>
      <c r="C124">
        <v>821</v>
      </c>
      <c r="D124">
        <v>680</v>
      </c>
      <c r="E124">
        <f t="shared" si="8"/>
        <v>583</v>
      </c>
      <c r="F124">
        <v>486</v>
      </c>
      <c r="G124">
        <f t="shared" si="9"/>
        <v>335</v>
      </c>
      <c r="H124">
        <v>184</v>
      </c>
      <c r="I124">
        <v>862</v>
      </c>
      <c r="J124">
        <v>751</v>
      </c>
      <c r="K124">
        <v>609</v>
      </c>
      <c r="L124">
        <f t="shared" si="10"/>
        <v>518</v>
      </c>
      <c r="M124">
        <v>427</v>
      </c>
      <c r="N124">
        <f t="shared" si="11"/>
        <v>293</v>
      </c>
      <c r="O124">
        <v>158</v>
      </c>
      <c r="P124">
        <v>694</v>
      </c>
      <c r="Q124">
        <v>628</v>
      </c>
      <c r="R124">
        <v>533</v>
      </c>
      <c r="S124">
        <f t="shared" si="12"/>
        <v>464</v>
      </c>
      <c r="T124">
        <v>395</v>
      </c>
      <c r="U124">
        <f t="shared" si="13"/>
        <v>278</v>
      </c>
      <c r="V124">
        <v>160</v>
      </c>
      <c r="W124">
        <v>647</v>
      </c>
      <c r="X124">
        <v>575</v>
      </c>
      <c r="Y124">
        <v>478</v>
      </c>
      <c r="Z124">
        <f t="shared" si="14"/>
        <v>413</v>
      </c>
      <c r="AA124">
        <v>347</v>
      </c>
      <c r="AB124">
        <f t="shared" si="15"/>
        <v>243</v>
      </c>
      <c r="AC124">
        <v>138</v>
      </c>
    </row>
    <row r="125" spans="1:29" x14ac:dyDescent="0.25">
      <c r="A125" t="s">
        <v>133</v>
      </c>
      <c r="B125">
        <v>828</v>
      </c>
      <c r="C125">
        <v>735</v>
      </c>
      <c r="D125">
        <v>592</v>
      </c>
      <c r="E125">
        <f t="shared" si="8"/>
        <v>504</v>
      </c>
      <c r="F125">
        <v>416</v>
      </c>
      <c r="G125">
        <f t="shared" si="9"/>
        <v>285</v>
      </c>
      <c r="H125">
        <v>154</v>
      </c>
      <c r="I125">
        <v>828</v>
      </c>
      <c r="J125">
        <v>735</v>
      </c>
      <c r="K125">
        <v>592</v>
      </c>
      <c r="L125">
        <f t="shared" si="10"/>
        <v>504</v>
      </c>
      <c r="M125">
        <v>416</v>
      </c>
      <c r="N125">
        <f t="shared" si="11"/>
        <v>285</v>
      </c>
      <c r="O125">
        <v>154</v>
      </c>
      <c r="P125">
        <v>621</v>
      </c>
      <c r="Q125">
        <v>562</v>
      </c>
      <c r="R125">
        <v>464</v>
      </c>
      <c r="S125">
        <f t="shared" si="12"/>
        <v>401</v>
      </c>
      <c r="T125">
        <v>338</v>
      </c>
      <c r="U125">
        <f t="shared" si="13"/>
        <v>236</v>
      </c>
      <c r="V125">
        <v>134</v>
      </c>
      <c r="W125">
        <v>621</v>
      </c>
      <c r="X125">
        <v>562</v>
      </c>
      <c r="Y125">
        <v>464</v>
      </c>
      <c r="Z125">
        <f t="shared" si="14"/>
        <v>401</v>
      </c>
      <c r="AA125">
        <v>338</v>
      </c>
      <c r="AB125">
        <f t="shared" si="15"/>
        <v>236</v>
      </c>
      <c r="AC125">
        <v>134</v>
      </c>
    </row>
    <row r="126" spans="1:29" x14ac:dyDescent="0.25">
      <c r="A126" t="s">
        <v>134</v>
      </c>
      <c r="B126">
        <v>773</v>
      </c>
      <c r="C126">
        <v>690</v>
      </c>
      <c r="D126">
        <v>559</v>
      </c>
      <c r="E126">
        <f t="shared" si="8"/>
        <v>477</v>
      </c>
      <c r="F126">
        <v>394</v>
      </c>
      <c r="G126">
        <f t="shared" si="9"/>
        <v>271</v>
      </c>
      <c r="H126">
        <v>147</v>
      </c>
      <c r="I126">
        <v>773</v>
      </c>
      <c r="J126">
        <v>690</v>
      </c>
      <c r="K126">
        <v>559</v>
      </c>
      <c r="L126">
        <f t="shared" si="10"/>
        <v>477</v>
      </c>
      <c r="M126">
        <v>394</v>
      </c>
      <c r="N126">
        <f t="shared" si="11"/>
        <v>271</v>
      </c>
      <c r="O126">
        <v>147</v>
      </c>
      <c r="P126">
        <v>579</v>
      </c>
      <c r="Q126">
        <v>528</v>
      </c>
      <c r="R126">
        <v>437</v>
      </c>
      <c r="S126">
        <f t="shared" si="12"/>
        <v>379</v>
      </c>
      <c r="T126">
        <v>320</v>
      </c>
      <c r="U126">
        <f t="shared" si="13"/>
        <v>224</v>
      </c>
      <c r="V126">
        <v>128</v>
      </c>
      <c r="W126">
        <v>579</v>
      </c>
      <c r="X126">
        <v>528</v>
      </c>
      <c r="Y126">
        <v>437</v>
      </c>
      <c r="Z126">
        <f t="shared" si="14"/>
        <v>379</v>
      </c>
      <c r="AA126">
        <v>320</v>
      </c>
      <c r="AB126">
        <f t="shared" si="15"/>
        <v>224</v>
      </c>
      <c r="AC126">
        <v>128</v>
      </c>
    </row>
    <row r="127" spans="1:29" x14ac:dyDescent="0.25">
      <c r="A127" t="s">
        <v>135</v>
      </c>
      <c r="B127">
        <v>715</v>
      </c>
      <c r="C127">
        <v>640</v>
      </c>
      <c r="D127">
        <v>527</v>
      </c>
      <c r="E127">
        <f t="shared" si="8"/>
        <v>451</v>
      </c>
      <c r="F127">
        <v>374</v>
      </c>
      <c r="G127">
        <f t="shared" si="9"/>
        <v>255</v>
      </c>
      <c r="H127">
        <v>136</v>
      </c>
      <c r="I127">
        <v>715</v>
      </c>
      <c r="J127">
        <v>640</v>
      </c>
      <c r="K127">
        <v>527</v>
      </c>
      <c r="L127">
        <f t="shared" si="10"/>
        <v>451</v>
      </c>
      <c r="M127">
        <v>374</v>
      </c>
      <c r="N127">
        <f t="shared" si="11"/>
        <v>255</v>
      </c>
      <c r="O127">
        <v>136</v>
      </c>
      <c r="P127">
        <v>536</v>
      </c>
      <c r="Q127">
        <v>489</v>
      </c>
      <c r="R127">
        <v>413</v>
      </c>
      <c r="S127">
        <f t="shared" si="12"/>
        <v>359</v>
      </c>
      <c r="T127">
        <v>304</v>
      </c>
      <c r="U127">
        <f t="shared" si="13"/>
        <v>211</v>
      </c>
      <c r="V127">
        <v>118</v>
      </c>
      <c r="W127">
        <v>536</v>
      </c>
      <c r="X127">
        <v>489</v>
      </c>
      <c r="Y127">
        <v>413</v>
      </c>
      <c r="Z127">
        <f t="shared" si="14"/>
        <v>359</v>
      </c>
      <c r="AA127">
        <v>304</v>
      </c>
      <c r="AB127">
        <f t="shared" si="15"/>
        <v>211</v>
      </c>
      <c r="AC127">
        <v>118</v>
      </c>
    </row>
    <row r="128" spans="1:29" x14ac:dyDescent="0.25">
      <c r="A128" t="s">
        <v>136</v>
      </c>
      <c r="B128">
        <v>1172</v>
      </c>
      <c r="C128">
        <v>1032</v>
      </c>
      <c r="D128">
        <v>843</v>
      </c>
      <c r="E128">
        <f t="shared" si="8"/>
        <v>719</v>
      </c>
      <c r="F128">
        <v>595</v>
      </c>
      <c r="G128">
        <f t="shared" si="9"/>
        <v>410</v>
      </c>
      <c r="H128">
        <v>225</v>
      </c>
      <c r="I128">
        <v>961</v>
      </c>
      <c r="J128">
        <v>836</v>
      </c>
      <c r="K128">
        <v>675</v>
      </c>
      <c r="L128">
        <f t="shared" si="10"/>
        <v>573</v>
      </c>
      <c r="M128">
        <v>470</v>
      </c>
      <c r="N128">
        <f t="shared" si="11"/>
        <v>323</v>
      </c>
      <c r="O128">
        <v>176</v>
      </c>
      <c r="P128">
        <v>879</v>
      </c>
      <c r="Q128">
        <v>790</v>
      </c>
      <c r="R128">
        <v>660</v>
      </c>
      <c r="S128">
        <f t="shared" si="12"/>
        <v>572</v>
      </c>
      <c r="T128">
        <v>484</v>
      </c>
      <c r="U128">
        <f t="shared" si="13"/>
        <v>340</v>
      </c>
      <c r="V128">
        <v>196</v>
      </c>
      <c r="W128">
        <v>721</v>
      </c>
      <c r="X128">
        <v>640</v>
      </c>
      <c r="Y128">
        <v>529</v>
      </c>
      <c r="Z128">
        <f t="shared" si="14"/>
        <v>456</v>
      </c>
      <c r="AA128">
        <v>382</v>
      </c>
      <c r="AB128">
        <f t="shared" si="15"/>
        <v>268</v>
      </c>
      <c r="AC128">
        <v>153</v>
      </c>
    </row>
    <row r="129" spans="1:29" x14ac:dyDescent="0.25">
      <c r="A129" t="s">
        <v>137</v>
      </c>
      <c r="B129">
        <v>1055</v>
      </c>
      <c r="C129">
        <v>926</v>
      </c>
      <c r="D129">
        <v>762</v>
      </c>
      <c r="E129">
        <f t="shared" si="8"/>
        <v>652</v>
      </c>
      <c r="F129">
        <v>542</v>
      </c>
      <c r="G129">
        <f t="shared" si="9"/>
        <v>373</v>
      </c>
      <c r="H129">
        <v>204</v>
      </c>
      <c r="I129">
        <v>916</v>
      </c>
      <c r="J129">
        <v>792</v>
      </c>
      <c r="K129">
        <v>641</v>
      </c>
      <c r="L129">
        <f t="shared" si="10"/>
        <v>545</v>
      </c>
      <c r="M129">
        <v>449</v>
      </c>
      <c r="N129">
        <f t="shared" si="11"/>
        <v>308</v>
      </c>
      <c r="O129">
        <v>167</v>
      </c>
      <c r="P129">
        <v>791</v>
      </c>
      <c r="Q129">
        <v>709</v>
      </c>
      <c r="R129">
        <v>596</v>
      </c>
      <c r="S129">
        <f t="shared" si="12"/>
        <v>518</v>
      </c>
      <c r="T129">
        <v>440</v>
      </c>
      <c r="U129">
        <f t="shared" si="13"/>
        <v>309</v>
      </c>
      <c r="V129">
        <v>178</v>
      </c>
      <c r="W129">
        <v>687</v>
      </c>
      <c r="X129">
        <v>606</v>
      </c>
      <c r="Y129">
        <v>502</v>
      </c>
      <c r="Z129">
        <f t="shared" si="14"/>
        <v>434</v>
      </c>
      <c r="AA129">
        <v>365</v>
      </c>
      <c r="AB129">
        <f t="shared" si="15"/>
        <v>255</v>
      </c>
      <c r="AC129">
        <v>145</v>
      </c>
    </row>
    <row r="130" spans="1:29" x14ac:dyDescent="0.25">
      <c r="A130" t="s">
        <v>138</v>
      </c>
      <c r="B130">
        <v>922</v>
      </c>
      <c r="C130">
        <v>816</v>
      </c>
      <c r="D130">
        <v>675</v>
      </c>
      <c r="E130">
        <f t="shared" si="8"/>
        <v>580</v>
      </c>
      <c r="F130">
        <v>484</v>
      </c>
      <c r="G130">
        <f t="shared" si="9"/>
        <v>334</v>
      </c>
      <c r="H130">
        <v>183</v>
      </c>
      <c r="I130">
        <v>862</v>
      </c>
      <c r="J130">
        <v>749</v>
      </c>
      <c r="K130">
        <v>608</v>
      </c>
      <c r="L130">
        <f t="shared" si="10"/>
        <v>517</v>
      </c>
      <c r="M130">
        <v>426</v>
      </c>
      <c r="N130">
        <f t="shared" si="11"/>
        <v>292</v>
      </c>
      <c r="O130">
        <v>157</v>
      </c>
      <c r="P130">
        <v>691</v>
      </c>
      <c r="Q130">
        <v>624</v>
      </c>
      <c r="R130">
        <v>529</v>
      </c>
      <c r="S130">
        <f t="shared" si="12"/>
        <v>461</v>
      </c>
      <c r="T130">
        <v>393</v>
      </c>
      <c r="U130">
        <f t="shared" si="13"/>
        <v>277</v>
      </c>
      <c r="V130">
        <v>160</v>
      </c>
      <c r="W130">
        <v>646</v>
      </c>
      <c r="X130">
        <v>573</v>
      </c>
      <c r="Y130">
        <v>477</v>
      </c>
      <c r="Z130">
        <f t="shared" si="14"/>
        <v>412</v>
      </c>
      <c r="AA130">
        <v>346</v>
      </c>
      <c r="AB130">
        <f t="shared" si="15"/>
        <v>242</v>
      </c>
      <c r="AC130">
        <v>137</v>
      </c>
    </row>
    <row r="131" spans="1:29" x14ac:dyDescent="0.25">
      <c r="A131" t="s">
        <v>139</v>
      </c>
      <c r="B131">
        <v>821</v>
      </c>
      <c r="C131">
        <v>730</v>
      </c>
      <c r="D131">
        <v>588</v>
      </c>
      <c r="E131">
        <f t="shared" si="8"/>
        <v>490</v>
      </c>
      <c r="F131">
        <v>392</v>
      </c>
      <c r="G131">
        <f t="shared" si="9"/>
        <v>272</v>
      </c>
      <c r="H131">
        <v>152</v>
      </c>
      <c r="I131">
        <v>821</v>
      </c>
      <c r="J131">
        <v>730</v>
      </c>
      <c r="K131">
        <v>588</v>
      </c>
      <c r="L131">
        <f t="shared" si="10"/>
        <v>490</v>
      </c>
      <c r="M131">
        <v>392</v>
      </c>
      <c r="N131">
        <f t="shared" si="11"/>
        <v>272</v>
      </c>
      <c r="O131">
        <v>152</v>
      </c>
      <c r="P131">
        <v>616</v>
      </c>
      <c r="Q131">
        <v>558</v>
      </c>
      <c r="R131">
        <v>460</v>
      </c>
      <c r="S131">
        <f t="shared" si="12"/>
        <v>390</v>
      </c>
      <c r="T131">
        <v>319</v>
      </c>
      <c r="U131">
        <f t="shared" si="13"/>
        <v>226</v>
      </c>
      <c r="V131">
        <v>133</v>
      </c>
      <c r="W131">
        <v>616</v>
      </c>
      <c r="X131">
        <v>558</v>
      </c>
      <c r="Y131">
        <v>460</v>
      </c>
      <c r="Z131">
        <f t="shared" si="14"/>
        <v>390</v>
      </c>
      <c r="AA131">
        <v>319</v>
      </c>
      <c r="AB131">
        <f t="shared" si="15"/>
        <v>226</v>
      </c>
      <c r="AC131">
        <v>133</v>
      </c>
    </row>
    <row r="132" spans="1:29" x14ac:dyDescent="0.25">
      <c r="A132" t="s">
        <v>140</v>
      </c>
      <c r="B132">
        <v>768</v>
      </c>
      <c r="C132">
        <v>684</v>
      </c>
      <c r="D132">
        <v>554</v>
      </c>
      <c r="E132">
        <f t="shared" ref="E132:E195" si="16">ROUND((D132+F132)/2,0)</f>
        <v>472</v>
      </c>
      <c r="F132">
        <v>390</v>
      </c>
      <c r="G132">
        <f t="shared" ref="G132:G195" si="17">ROUND((F132+H132)/2,0)</f>
        <v>267</v>
      </c>
      <c r="H132">
        <v>144</v>
      </c>
      <c r="I132">
        <v>768</v>
      </c>
      <c r="J132">
        <v>684</v>
      </c>
      <c r="K132">
        <v>554</v>
      </c>
      <c r="L132">
        <f t="shared" ref="L132:L195" si="18">ROUND((K132+M132)/2,0)</f>
        <v>472</v>
      </c>
      <c r="M132">
        <v>390</v>
      </c>
      <c r="N132">
        <f t="shared" ref="N132:N195" si="19">ROUND((M132+O132)/2,0)</f>
        <v>267</v>
      </c>
      <c r="O132">
        <v>144</v>
      </c>
      <c r="P132">
        <v>575</v>
      </c>
      <c r="Q132">
        <v>523</v>
      </c>
      <c r="R132">
        <v>434</v>
      </c>
      <c r="S132">
        <f t="shared" ref="S132:S195" si="20">ROUND((R132+T132)/2,0)</f>
        <v>376</v>
      </c>
      <c r="T132">
        <v>317</v>
      </c>
      <c r="U132">
        <f t="shared" ref="U132:U195" si="21">ROUND((T132+V132)/2,0)</f>
        <v>221</v>
      </c>
      <c r="V132">
        <v>125</v>
      </c>
      <c r="W132">
        <v>575</v>
      </c>
      <c r="X132">
        <v>523</v>
      </c>
      <c r="Y132">
        <v>434</v>
      </c>
      <c r="Z132">
        <f t="shared" ref="Z132:Z195" si="22">ROUND((Y132+AA132)/2,0)</f>
        <v>376</v>
      </c>
      <c r="AA132">
        <v>317</v>
      </c>
      <c r="AB132">
        <f t="shared" ref="AB132:AB195" si="23">ROUND((AA132+AC132)/2,0)</f>
        <v>221</v>
      </c>
      <c r="AC132">
        <v>125</v>
      </c>
    </row>
    <row r="133" spans="1:29" x14ac:dyDescent="0.25">
      <c r="A133" t="s">
        <v>141</v>
      </c>
      <c r="B133">
        <v>711</v>
      </c>
      <c r="C133">
        <v>636</v>
      </c>
      <c r="D133">
        <v>525</v>
      </c>
      <c r="E133">
        <f t="shared" si="16"/>
        <v>446</v>
      </c>
      <c r="F133">
        <v>367</v>
      </c>
      <c r="G133">
        <f t="shared" si="17"/>
        <v>252</v>
      </c>
      <c r="H133">
        <v>137</v>
      </c>
      <c r="I133">
        <v>711</v>
      </c>
      <c r="J133">
        <v>636</v>
      </c>
      <c r="K133">
        <v>525</v>
      </c>
      <c r="L133">
        <f t="shared" si="18"/>
        <v>446</v>
      </c>
      <c r="M133">
        <v>367</v>
      </c>
      <c r="N133">
        <f t="shared" si="19"/>
        <v>252</v>
      </c>
      <c r="O133">
        <v>137</v>
      </c>
      <c r="P133">
        <v>533</v>
      </c>
      <c r="Q133">
        <v>487</v>
      </c>
      <c r="R133">
        <v>411</v>
      </c>
      <c r="S133">
        <f t="shared" si="20"/>
        <v>355</v>
      </c>
      <c r="T133">
        <v>298</v>
      </c>
      <c r="U133">
        <f t="shared" si="21"/>
        <v>209</v>
      </c>
      <c r="V133">
        <v>119</v>
      </c>
      <c r="W133">
        <v>533</v>
      </c>
      <c r="X133">
        <v>487</v>
      </c>
      <c r="Y133">
        <v>411</v>
      </c>
      <c r="Z133">
        <f t="shared" si="22"/>
        <v>355</v>
      </c>
      <c r="AA133">
        <v>298</v>
      </c>
      <c r="AB133">
        <f t="shared" si="23"/>
        <v>209</v>
      </c>
      <c r="AC133">
        <v>119</v>
      </c>
    </row>
    <row r="134" spans="1:29" x14ac:dyDescent="0.25">
      <c r="A134" t="s">
        <v>142</v>
      </c>
      <c r="B134">
        <v>651</v>
      </c>
      <c r="C134">
        <v>585</v>
      </c>
      <c r="D134">
        <v>483</v>
      </c>
      <c r="E134">
        <f t="shared" si="16"/>
        <v>414</v>
      </c>
      <c r="F134">
        <v>345</v>
      </c>
      <c r="G134">
        <f t="shared" si="17"/>
        <v>235</v>
      </c>
      <c r="H134">
        <v>125</v>
      </c>
      <c r="I134">
        <v>651</v>
      </c>
      <c r="J134">
        <v>585</v>
      </c>
      <c r="K134">
        <v>483</v>
      </c>
      <c r="L134">
        <f t="shared" si="18"/>
        <v>414</v>
      </c>
      <c r="M134">
        <v>345</v>
      </c>
      <c r="N134">
        <f t="shared" si="19"/>
        <v>235</v>
      </c>
      <c r="O134">
        <v>125</v>
      </c>
      <c r="P134">
        <v>488</v>
      </c>
      <c r="Q134">
        <v>447</v>
      </c>
      <c r="R134">
        <v>378</v>
      </c>
      <c r="S134">
        <f t="shared" si="20"/>
        <v>329</v>
      </c>
      <c r="T134">
        <v>280</v>
      </c>
      <c r="U134">
        <f t="shared" si="21"/>
        <v>195</v>
      </c>
      <c r="V134">
        <v>109</v>
      </c>
      <c r="W134">
        <v>488</v>
      </c>
      <c r="X134">
        <v>447</v>
      </c>
      <c r="Y134">
        <v>378</v>
      </c>
      <c r="Z134">
        <f t="shared" si="22"/>
        <v>329</v>
      </c>
      <c r="AA134">
        <v>280</v>
      </c>
      <c r="AB134">
        <f t="shared" si="23"/>
        <v>195</v>
      </c>
      <c r="AC134">
        <v>109</v>
      </c>
    </row>
    <row r="135" spans="1:29" x14ac:dyDescent="0.25">
      <c r="A135" t="s">
        <v>143</v>
      </c>
      <c r="B135">
        <v>1049</v>
      </c>
      <c r="C135">
        <v>920</v>
      </c>
      <c r="D135">
        <v>754</v>
      </c>
      <c r="E135">
        <f t="shared" si="16"/>
        <v>644</v>
      </c>
      <c r="F135">
        <v>534</v>
      </c>
      <c r="G135">
        <f t="shared" si="17"/>
        <v>368</v>
      </c>
      <c r="H135">
        <v>201</v>
      </c>
      <c r="I135">
        <v>913</v>
      </c>
      <c r="J135">
        <v>790</v>
      </c>
      <c r="K135">
        <v>638</v>
      </c>
      <c r="L135">
        <f t="shared" si="18"/>
        <v>542</v>
      </c>
      <c r="M135">
        <v>445</v>
      </c>
      <c r="N135">
        <f t="shared" si="19"/>
        <v>305</v>
      </c>
      <c r="O135">
        <v>165</v>
      </c>
      <c r="P135">
        <v>787</v>
      </c>
      <c r="Q135">
        <v>704</v>
      </c>
      <c r="R135">
        <v>591</v>
      </c>
      <c r="S135">
        <f t="shared" si="20"/>
        <v>513</v>
      </c>
      <c r="T135">
        <v>434</v>
      </c>
      <c r="U135">
        <f t="shared" si="21"/>
        <v>305</v>
      </c>
      <c r="V135">
        <v>175</v>
      </c>
      <c r="W135">
        <v>685</v>
      </c>
      <c r="X135">
        <v>605</v>
      </c>
      <c r="Y135">
        <v>500</v>
      </c>
      <c r="Z135">
        <f t="shared" si="22"/>
        <v>431</v>
      </c>
      <c r="AA135">
        <v>362</v>
      </c>
      <c r="AB135">
        <f t="shared" si="23"/>
        <v>253</v>
      </c>
      <c r="AC135">
        <v>144</v>
      </c>
    </row>
    <row r="136" spans="1:29" x14ac:dyDescent="0.25">
      <c r="A136" t="s">
        <v>144</v>
      </c>
      <c r="B136">
        <v>916</v>
      </c>
      <c r="C136">
        <v>808</v>
      </c>
      <c r="D136">
        <v>668</v>
      </c>
      <c r="E136">
        <f t="shared" si="16"/>
        <v>572</v>
      </c>
      <c r="F136">
        <v>476</v>
      </c>
      <c r="G136">
        <f t="shared" si="17"/>
        <v>328</v>
      </c>
      <c r="H136">
        <v>180</v>
      </c>
      <c r="I136">
        <v>859</v>
      </c>
      <c r="J136">
        <v>746</v>
      </c>
      <c r="K136">
        <v>605</v>
      </c>
      <c r="L136">
        <f t="shared" si="18"/>
        <v>514</v>
      </c>
      <c r="M136">
        <v>423</v>
      </c>
      <c r="N136">
        <f t="shared" si="19"/>
        <v>290</v>
      </c>
      <c r="O136">
        <v>156</v>
      </c>
      <c r="P136">
        <v>687</v>
      </c>
      <c r="Q136">
        <v>618</v>
      </c>
      <c r="R136">
        <v>523</v>
      </c>
      <c r="S136">
        <f t="shared" si="20"/>
        <v>455</v>
      </c>
      <c r="T136">
        <v>387</v>
      </c>
      <c r="U136">
        <f t="shared" si="21"/>
        <v>272</v>
      </c>
      <c r="V136">
        <v>157</v>
      </c>
      <c r="W136">
        <v>644</v>
      </c>
      <c r="X136">
        <v>571</v>
      </c>
      <c r="Y136">
        <v>473</v>
      </c>
      <c r="Z136">
        <f t="shared" si="22"/>
        <v>409</v>
      </c>
      <c r="AA136">
        <v>344</v>
      </c>
      <c r="AB136">
        <f t="shared" si="23"/>
        <v>240</v>
      </c>
      <c r="AC136">
        <v>136</v>
      </c>
    </row>
    <row r="137" spans="1:29" x14ac:dyDescent="0.25">
      <c r="A137" t="s">
        <v>145</v>
      </c>
      <c r="B137">
        <v>815</v>
      </c>
      <c r="C137">
        <v>722</v>
      </c>
      <c r="D137">
        <v>582</v>
      </c>
      <c r="E137">
        <f t="shared" si="16"/>
        <v>497</v>
      </c>
      <c r="F137">
        <v>411</v>
      </c>
      <c r="G137">
        <f t="shared" si="17"/>
        <v>284</v>
      </c>
      <c r="H137">
        <v>156</v>
      </c>
      <c r="I137">
        <v>815</v>
      </c>
      <c r="J137">
        <v>722</v>
      </c>
      <c r="K137">
        <v>582</v>
      </c>
      <c r="L137">
        <f t="shared" si="18"/>
        <v>488</v>
      </c>
      <c r="M137">
        <v>393</v>
      </c>
      <c r="N137">
        <f t="shared" si="19"/>
        <v>270</v>
      </c>
      <c r="O137">
        <v>147</v>
      </c>
      <c r="P137">
        <v>611</v>
      </c>
      <c r="Q137">
        <v>553</v>
      </c>
      <c r="R137">
        <v>455</v>
      </c>
      <c r="S137">
        <f t="shared" si="20"/>
        <v>395</v>
      </c>
      <c r="T137">
        <v>334</v>
      </c>
      <c r="U137">
        <f t="shared" si="21"/>
        <v>235</v>
      </c>
      <c r="V137">
        <v>136</v>
      </c>
      <c r="W137">
        <v>611</v>
      </c>
      <c r="X137">
        <v>553</v>
      </c>
      <c r="Y137">
        <v>455</v>
      </c>
      <c r="Z137">
        <f t="shared" si="22"/>
        <v>388</v>
      </c>
      <c r="AA137">
        <v>320</v>
      </c>
      <c r="AB137">
        <f t="shared" si="23"/>
        <v>224</v>
      </c>
      <c r="AC137">
        <v>128</v>
      </c>
    </row>
    <row r="138" spans="1:29" x14ac:dyDescent="0.25">
      <c r="A138" t="s">
        <v>146</v>
      </c>
      <c r="B138">
        <v>761</v>
      </c>
      <c r="C138">
        <v>677</v>
      </c>
      <c r="D138">
        <v>549</v>
      </c>
      <c r="E138">
        <f t="shared" si="16"/>
        <v>468</v>
      </c>
      <c r="F138">
        <v>386</v>
      </c>
      <c r="G138">
        <f t="shared" si="17"/>
        <v>264</v>
      </c>
      <c r="H138">
        <v>142</v>
      </c>
      <c r="I138">
        <v>761</v>
      </c>
      <c r="J138">
        <v>677</v>
      </c>
      <c r="K138">
        <v>549</v>
      </c>
      <c r="L138">
        <f t="shared" si="18"/>
        <v>468</v>
      </c>
      <c r="M138">
        <v>386</v>
      </c>
      <c r="N138">
        <f t="shared" si="19"/>
        <v>264</v>
      </c>
      <c r="O138">
        <v>142</v>
      </c>
      <c r="P138">
        <v>570</v>
      </c>
      <c r="Q138">
        <v>518</v>
      </c>
      <c r="R138">
        <v>430</v>
      </c>
      <c r="S138">
        <f t="shared" si="20"/>
        <v>372</v>
      </c>
      <c r="T138">
        <v>314</v>
      </c>
      <c r="U138">
        <f t="shared" si="21"/>
        <v>219</v>
      </c>
      <c r="V138">
        <v>124</v>
      </c>
      <c r="W138">
        <v>570</v>
      </c>
      <c r="X138">
        <v>518</v>
      </c>
      <c r="Y138">
        <v>430</v>
      </c>
      <c r="Z138">
        <f t="shared" si="22"/>
        <v>372</v>
      </c>
      <c r="AA138">
        <v>314</v>
      </c>
      <c r="AB138">
        <f t="shared" si="23"/>
        <v>219</v>
      </c>
      <c r="AC138">
        <v>124</v>
      </c>
    </row>
    <row r="139" spans="1:29" x14ac:dyDescent="0.25">
      <c r="A139" t="s">
        <v>147</v>
      </c>
      <c r="B139">
        <v>705</v>
      </c>
      <c r="C139">
        <v>630</v>
      </c>
      <c r="D139">
        <v>520</v>
      </c>
      <c r="E139">
        <f t="shared" si="16"/>
        <v>442</v>
      </c>
      <c r="F139">
        <v>364</v>
      </c>
      <c r="G139">
        <f t="shared" si="17"/>
        <v>250</v>
      </c>
      <c r="H139">
        <v>136</v>
      </c>
      <c r="I139">
        <v>705</v>
      </c>
      <c r="J139">
        <v>630</v>
      </c>
      <c r="K139">
        <v>520</v>
      </c>
      <c r="L139">
        <f t="shared" si="18"/>
        <v>442</v>
      </c>
      <c r="M139">
        <v>364</v>
      </c>
      <c r="N139">
        <f t="shared" si="19"/>
        <v>250</v>
      </c>
      <c r="O139">
        <v>136</v>
      </c>
      <c r="P139">
        <v>529</v>
      </c>
      <c r="Q139">
        <v>482</v>
      </c>
      <c r="R139">
        <v>407</v>
      </c>
      <c r="S139">
        <f t="shared" si="20"/>
        <v>351</v>
      </c>
      <c r="T139">
        <v>295</v>
      </c>
      <c r="U139">
        <f t="shared" si="21"/>
        <v>207</v>
      </c>
      <c r="V139">
        <v>118</v>
      </c>
      <c r="W139">
        <v>529</v>
      </c>
      <c r="X139">
        <v>482</v>
      </c>
      <c r="Y139">
        <v>407</v>
      </c>
      <c r="Z139">
        <f t="shared" si="22"/>
        <v>351</v>
      </c>
      <c r="AA139">
        <v>295</v>
      </c>
      <c r="AB139">
        <f t="shared" si="23"/>
        <v>207</v>
      </c>
      <c r="AC139">
        <v>118</v>
      </c>
    </row>
    <row r="140" spans="1:29" x14ac:dyDescent="0.25">
      <c r="A140" t="s">
        <v>148</v>
      </c>
      <c r="B140">
        <v>647</v>
      </c>
      <c r="C140">
        <v>581</v>
      </c>
      <c r="D140">
        <v>481</v>
      </c>
      <c r="E140">
        <f t="shared" si="16"/>
        <v>412</v>
      </c>
      <c r="F140">
        <v>343</v>
      </c>
      <c r="G140">
        <f t="shared" si="17"/>
        <v>234</v>
      </c>
      <c r="H140">
        <v>125</v>
      </c>
      <c r="I140">
        <v>647</v>
      </c>
      <c r="J140">
        <v>581</v>
      </c>
      <c r="K140">
        <v>481</v>
      </c>
      <c r="L140">
        <f t="shared" si="18"/>
        <v>412</v>
      </c>
      <c r="M140">
        <v>343</v>
      </c>
      <c r="N140">
        <f t="shared" si="19"/>
        <v>234</v>
      </c>
      <c r="O140">
        <v>125</v>
      </c>
      <c r="P140">
        <v>485</v>
      </c>
      <c r="Q140">
        <v>445</v>
      </c>
      <c r="R140">
        <v>376</v>
      </c>
      <c r="S140">
        <f t="shared" si="20"/>
        <v>328</v>
      </c>
      <c r="T140">
        <v>279</v>
      </c>
      <c r="U140">
        <f t="shared" si="21"/>
        <v>194</v>
      </c>
      <c r="V140">
        <v>109</v>
      </c>
      <c r="W140">
        <v>485</v>
      </c>
      <c r="X140">
        <v>445</v>
      </c>
      <c r="Y140">
        <v>376</v>
      </c>
      <c r="Z140">
        <f t="shared" si="22"/>
        <v>328</v>
      </c>
      <c r="AA140">
        <v>279</v>
      </c>
      <c r="AB140">
        <f t="shared" si="23"/>
        <v>194</v>
      </c>
      <c r="AC140">
        <v>109</v>
      </c>
    </row>
    <row r="141" spans="1:29" x14ac:dyDescent="0.25">
      <c r="A141" t="s">
        <v>149</v>
      </c>
      <c r="B141">
        <v>584</v>
      </c>
      <c r="C141">
        <v>526</v>
      </c>
      <c r="D141">
        <v>438</v>
      </c>
      <c r="E141">
        <f t="shared" si="16"/>
        <v>376</v>
      </c>
      <c r="F141">
        <v>313</v>
      </c>
      <c r="G141">
        <f t="shared" si="17"/>
        <v>213</v>
      </c>
      <c r="H141">
        <v>113</v>
      </c>
      <c r="I141">
        <v>584</v>
      </c>
      <c r="J141">
        <v>526</v>
      </c>
      <c r="K141">
        <v>438</v>
      </c>
      <c r="L141">
        <f t="shared" si="18"/>
        <v>376</v>
      </c>
      <c r="M141">
        <v>313</v>
      </c>
      <c r="N141">
        <f t="shared" si="19"/>
        <v>213</v>
      </c>
      <c r="O141">
        <v>113</v>
      </c>
      <c r="P141">
        <v>438</v>
      </c>
      <c r="Q141">
        <v>403</v>
      </c>
      <c r="R141">
        <v>343</v>
      </c>
      <c r="S141">
        <f t="shared" si="20"/>
        <v>299</v>
      </c>
      <c r="T141">
        <v>255</v>
      </c>
      <c r="U141">
        <f t="shared" si="21"/>
        <v>177</v>
      </c>
      <c r="V141">
        <v>99</v>
      </c>
      <c r="W141">
        <v>438</v>
      </c>
      <c r="X141">
        <v>403</v>
      </c>
      <c r="Y141">
        <v>343</v>
      </c>
      <c r="Z141">
        <f t="shared" si="22"/>
        <v>299</v>
      </c>
      <c r="AA141">
        <v>255</v>
      </c>
      <c r="AB141">
        <f t="shared" si="23"/>
        <v>177</v>
      </c>
      <c r="AC141">
        <v>99</v>
      </c>
    </row>
    <row r="142" spans="1:29" x14ac:dyDescent="0.25">
      <c r="A142" t="s">
        <v>150</v>
      </c>
      <c r="B142">
        <v>909</v>
      </c>
      <c r="C142">
        <v>801</v>
      </c>
      <c r="D142">
        <v>661</v>
      </c>
      <c r="E142">
        <f t="shared" si="16"/>
        <v>566</v>
      </c>
      <c r="F142">
        <v>470</v>
      </c>
      <c r="G142">
        <f t="shared" si="17"/>
        <v>323</v>
      </c>
      <c r="H142">
        <v>176</v>
      </c>
      <c r="I142">
        <v>857</v>
      </c>
      <c r="J142">
        <v>743</v>
      </c>
      <c r="K142">
        <v>603</v>
      </c>
      <c r="L142">
        <f t="shared" si="18"/>
        <v>512</v>
      </c>
      <c r="M142">
        <v>421</v>
      </c>
      <c r="N142">
        <f t="shared" si="19"/>
        <v>288</v>
      </c>
      <c r="O142">
        <v>155</v>
      </c>
      <c r="P142">
        <v>681</v>
      </c>
      <c r="Q142">
        <v>613</v>
      </c>
      <c r="R142">
        <v>517</v>
      </c>
      <c r="S142">
        <f t="shared" si="20"/>
        <v>450</v>
      </c>
      <c r="T142">
        <v>382</v>
      </c>
      <c r="U142">
        <f t="shared" si="21"/>
        <v>268</v>
      </c>
      <c r="V142">
        <v>153</v>
      </c>
      <c r="W142">
        <v>642</v>
      </c>
      <c r="X142">
        <v>569</v>
      </c>
      <c r="Y142">
        <v>471</v>
      </c>
      <c r="Z142">
        <f t="shared" si="22"/>
        <v>407</v>
      </c>
      <c r="AA142">
        <v>342</v>
      </c>
      <c r="AB142">
        <f t="shared" si="23"/>
        <v>239</v>
      </c>
      <c r="AC142">
        <v>135</v>
      </c>
    </row>
    <row r="143" spans="1:29" x14ac:dyDescent="0.25">
      <c r="A143" t="s">
        <v>151</v>
      </c>
      <c r="B143">
        <v>809</v>
      </c>
      <c r="C143">
        <v>717</v>
      </c>
      <c r="D143">
        <v>577</v>
      </c>
      <c r="E143">
        <f t="shared" si="16"/>
        <v>493</v>
      </c>
      <c r="F143">
        <v>409</v>
      </c>
      <c r="G143">
        <f t="shared" si="17"/>
        <v>282</v>
      </c>
      <c r="H143">
        <v>154</v>
      </c>
      <c r="I143">
        <v>809</v>
      </c>
      <c r="J143">
        <v>717</v>
      </c>
      <c r="K143">
        <v>577</v>
      </c>
      <c r="L143">
        <f t="shared" si="18"/>
        <v>488</v>
      </c>
      <c r="M143">
        <v>399</v>
      </c>
      <c r="N143">
        <f t="shared" si="19"/>
        <v>273</v>
      </c>
      <c r="O143">
        <v>146</v>
      </c>
      <c r="P143">
        <v>606</v>
      </c>
      <c r="Q143">
        <v>549</v>
      </c>
      <c r="R143">
        <v>452</v>
      </c>
      <c r="S143">
        <f t="shared" si="20"/>
        <v>392</v>
      </c>
      <c r="T143">
        <v>332</v>
      </c>
      <c r="U143">
        <f t="shared" si="21"/>
        <v>233</v>
      </c>
      <c r="V143">
        <v>134</v>
      </c>
      <c r="W143">
        <v>606</v>
      </c>
      <c r="X143">
        <v>549</v>
      </c>
      <c r="Y143">
        <v>452</v>
      </c>
      <c r="Z143">
        <f t="shared" si="22"/>
        <v>388</v>
      </c>
      <c r="AA143">
        <v>324</v>
      </c>
      <c r="AB143">
        <f t="shared" si="23"/>
        <v>226</v>
      </c>
      <c r="AC143">
        <v>127</v>
      </c>
    </row>
    <row r="144" spans="1:29" x14ac:dyDescent="0.25">
      <c r="A144" t="s">
        <v>152</v>
      </c>
      <c r="B144">
        <v>754</v>
      </c>
      <c r="C144">
        <v>670</v>
      </c>
      <c r="D144">
        <v>543</v>
      </c>
      <c r="E144">
        <f t="shared" si="16"/>
        <v>463</v>
      </c>
      <c r="F144">
        <v>382</v>
      </c>
      <c r="G144">
        <f t="shared" si="17"/>
        <v>262</v>
      </c>
      <c r="H144">
        <v>141</v>
      </c>
      <c r="I144">
        <v>754</v>
      </c>
      <c r="J144">
        <v>670</v>
      </c>
      <c r="K144">
        <v>543</v>
      </c>
      <c r="L144">
        <f t="shared" si="18"/>
        <v>463</v>
      </c>
      <c r="M144">
        <v>382</v>
      </c>
      <c r="N144">
        <f t="shared" si="19"/>
        <v>262</v>
      </c>
      <c r="O144">
        <v>141</v>
      </c>
      <c r="P144">
        <v>565</v>
      </c>
      <c r="Q144">
        <v>513</v>
      </c>
      <c r="R144">
        <v>425</v>
      </c>
      <c r="S144">
        <f t="shared" si="20"/>
        <v>368</v>
      </c>
      <c r="T144">
        <v>311</v>
      </c>
      <c r="U144">
        <f t="shared" si="21"/>
        <v>217</v>
      </c>
      <c r="V144">
        <v>122</v>
      </c>
      <c r="W144">
        <v>565</v>
      </c>
      <c r="X144">
        <v>513</v>
      </c>
      <c r="Y144">
        <v>425</v>
      </c>
      <c r="Z144">
        <f t="shared" si="22"/>
        <v>368</v>
      </c>
      <c r="AA144">
        <v>311</v>
      </c>
      <c r="AB144">
        <f t="shared" si="23"/>
        <v>217</v>
      </c>
      <c r="AC144">
        <v>122</v>
      </c>
    </row>
    <row r="145" spans="1:29" x14ac:dyDescent="0.25">
      <c r="A145" t="s">
        <v>153</v>
      </c>
      <c r="B145">
        <v>699</v>
      </c>
      <c r="C145">
        <v>623</v>
      </c>
      <c r="D145">
        <v>513</v>
      </c>
      <c r="E145">
        <f t="shared" si="16"/>
        <v>437</v>
      </c>
      <c r="F145">
        <v>360</v>
      </c>
      <c r="G145">
        <f t="shared" si="17"/>
        <v>247</v>
      </c>
      <c r="H145">
        <v>134</v>
      </c>
      <c r="I145">
        <v>699</v>
      </c>
      <c r="J145">
        <v>623</v>
      </c>
      <c r="K145">
        <v>513</v>
      </c>
      <c r="L145">
        <f t="shared" si="18"/>
        <v>437</v>
      </c>
      <c r="M145">
        <v>360</v>
      </c>
      <c r="N145">
        <f t="shared" si="19"/>
        <v>247</v>
      </c>
      <c r="O145">
        <v>134</v>
      </c>
      <c r="P145">
        <v>524</v>
      </c>
      <c r="Q145">
        <v>477</v>
      </c>
      <c r="R145">
        <v>402</v>
      </c>
      <c r="S145">
        <f t="shared" si="20"/>
        <v>347</v>
      </c>
      <c r="T145">
        <v>292</v>
      </c>
      <c r="U145">
        <f t="shared" si="21"/>
        <v>205</v>
      </c>
      <c r="V145">
        <v>117</v>
      </c>
      <c r="W145">
        <v>524</v>
      </c>
      <c r="X145">
        <v>477</v>
      </c>
      <c r="Y145">
        <v>402</v>
      </c>
      <c r="Z145">
        <f t="shared" si="22"/>
        <v>347</v>
      </c>
      <c r="AA145">
        <v>292</v>
      </c>
      <c r="AB145">
        <f t="shared" si="23"/>
        <v>205</v>
      </c>
      <c r="AC145">
        <v>117</v>
      </c>
    </row>
    <row r="146" spans="1:29" x14ac:dyDescent="0.25">
      <c r="A146" t="s">
        <v>154</v>
      </c>
      <c r="B146">
        <v>641</v>
      </c>
      <c r="C146">
        <v>576</v>
      </c>
      <c r="D146">
        <v>477</v>
      </c>
      <c r="E146">
        <f t="shared" si="16"/>
        <v>409</v>
      </c>
      <c r="F146">
        <v>341</v>
      </c>
      <c r="G146">
        <f t="shared" si="17"/>
        <v>233</v>
      </c>
      <c r="H146">
        <v>125</v>
      </c>
      <c r="I146">
        <v>641</v>
      </c>
      <c r="J146">
        <v>576</v>
      </c>
      <c r="K146">
        <v>477</v>
      </c>
      <c r="L146">
        <f t="shared" si="18"/>
        <v>409</v>
      </c>
      <c r="M146">
        <v>341</v>
      </c>
      <c r="N146">
        <f t="shared" si="19"/>
        <v>233</v>
      </c>
      <c r="O146">
        <v>125</v>
      </c>
      <c r="P146">
        <v>481</v>
      </c>
      <c r="Q146">
        <v>440</v>
      </c>
      <c r="R146">
        <v>374</v>
      </c>
      <c r="S146">
        <f t="shared" si="20"/>
        <v>326</v>
      </c>
      <c r="T146">
        <v>277</v>
      </c>
      <c r="U146">
        <f t="shared" si="21"/>
        <v>193</v>
      </c>
      <c r="V146">
        <v>109</v>
      </c>
      <c r="W146">
        <v>481</v>
      </c>
      <c r="X146">
        <v>440</v>
      </c>
      <c r="Y146">
        <v>374</v>
      </c>
      <c r="Z146">
        <f t="shared" si="22"/>
        <v>326</v>
      </c>
      <c r="AA146">
        <v>277</v>
      </c>
      <c r="AB146">
        <f t="shared" si="23"/>
        <v>193</v>
      </c>
      <c r="AC146">
        <v>109</v>
      </c>
    </row>
    <row r="147" spans="1:29" x14ac:dyDescent="0.25">
      <c r="A147" t="s">
        <v>155</v>
      </c>
      <c r="B147">
        <v>580</v>
      </c>
      <c r="C147">
        <v>523</v>
      </c>
      <c r="D147">
        <v>436</v>
      </c>
      <c r="E147">
        <f t="shared" si="16"/>
        <v>374</v>
      </c>
      <c r="F147">
        <v>312</v>
      </c>
      <c r="G147">
        <f t="shared" si="17"/>
        <v>213</v>
      </c>
      <c r="H147">
        <v>114</v>
      </c>
      <c r="I147">
        <v>580</v>
      </c>
      <c r="J147">
        <v>523</v>
      </c>
      <c r="K147">
        <v>436</v>
      </c>
      <c r="L147">
        <f t="shared" si="18"/>
        <v>374</v>
      </c>
      <c r="M147">
        <v>312</v>
      </c>
      <c r="N147">
        <f t="shared" si="19"/>
        <v>213</v>
      </c>
      <c r="O147">
        <v>114</v>
      </c>
      <c r="P147">
        <v>435</v>
      </c>
      <c r="Q147">
        <v>400</v>
      </c>
      <c r="R147">
        <v>341</v>
      </c>
      <c r="S147">
        <f t="shared" si="20"/>
        <v>297</v>
      </c>
      <c r="T147">
        <v>253</v>
      </c>
      <c r="U147">
        <f t="shared" si="21"/>
        <v>176</v>
      </c>
      <c r="V147">
        <v>99</v>
      </c>
      <c r="W147">
        <v>435</v>
      </c>
      <c r="X147">
        <v>400</v>
      </c>
      <c r="Y147">
        <v>341</v>
      </c>
      <c r="Z147">
        <f t="shared" si="22"/>
        <v>297</v>
      </c>
      <c r="AA147">
        <v>253</v>
      </c>
      <c r="AB147">
        <f t="shared" si="23"/>
        <v>176</v>
      </c>
      <c r="AC147">
        <v>99</v>
      </c>
    </row>
    <row r="148" spans="1:29" x14ac:dyDescent="0.25">
      <c r="A148" t="s">
        <v>156</v>
      </c>
      <c r="B148">
        <v>515</v>
      </c>
      <c r="C148">
        <v>467</v>
      </c>
      <c r="D148">
        <v>390</v>
      </c>
      <c r="E148">
        <f t="shared" si="16"/>
        <v>336</v>
      </c>
      <c r="F148">
        <v>282</v>
      </c>
      <c r="G148">
        <f t="shared" si="17"/>
        <v>192</v>
      </c>
      <c r="H148">
        <v>102</v>
      </c>
      <c r="I148">
        <v>515</v>
      </c>
      <c r="J148">
        <v>467</v>
      </c>
      <c r="K148">
        <v>390</v>
      </c>
      <c r="L148">
        <f t="shared" si="18"/>
        <v>336</v>
      </c>
      <c r="M148">
        <v>282</v>
      </c>
      <c r="N148">
        <f t="shared" si="19"/>
        <v>192</v>
      </c>
      <c r="O148">
        <v>102</v>
      </c>
      <c r="P148">
        <v>386</v>
      </c>
      <c r="Q148">
        <v>358</v>
      </c>
      <c r="R148">
        <v>306</v>
      </c>
      <c r="S148">
        <f t="shared" si="20"/>
        <v>268</v>
      </c>
      <c r="T148">
        <v>229</v>
      </c>
      <c r="U148">
        <f t="shared" si="21"/>
        <v>159</v>
      </c>
      <c r="V148">
        <v>89</v>
      </c>
      <c r="W148">
        <v>386</v>
      </c>
      <c r="X148">
        <v>358</v>
      </c>
      <c r="Y148">
        <v>306</v>
      </c>
      <c r="Z148">
        <f t="shared" si="22"/>
        <v>268</v>
      </c>
      <c r="AA148">
        <v>229</v>
      </c>
      <c r="AB148">
        <f t="shared" si="23"/>
        <v>159</v>
      </c>
      <c r="AC148">
        <v>89</v>
      </c>
    </row>
    <row r="149" spans="1:29" x14ac:dyDescent="0.25">
      <c r="A149" t="s">
        <v>157</v>
      </c>
      <c r="B149">
        <v>803</v>
      </c>
      <c r="C149">
        <v>710</v>
      </c>
      <c r="D149">
        <v>571</v>
      </c>
      <c r="E149">
        <f t="shared" si="16"/>
        <v>486</v>
      </c>
      <c r="F149">
        <v>401</v>
      </c>
      <c r="G149">
        <f t="shared" si="17"/>
        <v>276</v>
      </c>
      <c r="H149">
        <v>150</v>
      </c>
      <c r="I149">
        <v>803</v>
      </c>
      <c r="J149">
        <v>710</v>
      </c>
      <c r="K149">
        <v>571</v>
      </c>
      <c r="L149">
        <f t="shared" si="18"/>
        <v>486</v>
      </c>
      <c r="M149">
        <v>401</v>
      </c>
      <c r="N149">
        <f t="shared" si="19"/>
        <v>273</v>
      </c>
      <c r="O149">
        <v>145</v>
      </c>
      <c r="P149">
        <v>602</v>
      </c>
      <c r="Q149">
        <v>543</v>
      </c>
      <c r="R149">
        <v>447</v>
      </c>
      <c r="S149">
        <f t="shared" si="20"/>
        <v>387</v>
      </c>
      <c r="T149">
        <v>326</v>
      </c>
      <c r="U149">
        <f t="shared" si="21"/>
        <v>228</v>
      </c>
      <c r="V149">
        <v>130</v>
      </c>
      <c r="W149">
        <v>602</v>
      </c>
      <c r="X149">
        <v>543</v>
      </c>
      <c r="Y149">
        <v>447</v>
      </c>
      <c r="Z149">
        <f t="shared" si="22"/>
        <v>387</v>
      </c>
      <c r="AA149">
        <v>326</v>
      </c>
      <c r="AB149">
        <f t="shared" si="23"/>
        <v>226</v>
      </c>
      <c r="AC149">
        <v>126</v>
      </c>
    </row>
    <row r="150" spans="1:29" x14ac:dyDescent="0.25">
      <c r="A150" t="s">
        <v>158</v>
      </c>
      <c r="B150">
        <v>747</v>
      </c>
      <c r="C150">
        <v>663</v>
      </c>
      <c r="D150">
        <v>543</v>
      </c>
      <c r="E150">
        <f t="shared" si="16"/>
        <v>460</v>
      </c>
      <c r="F150">
        <v>377</v>
      </c>
      <c r="G150">
        <f t="shared" si="17"/>
        <v>258</v>
      </c>
      <c r="H150">
        <v>138</v>
      </c>
      <c r="I150">
        <v>747</v>
      </c>
      <c r="J150">
        <v>663</v>
      </c>
      <c r="K150">
        <v>543</v>
      </c>
      <c r="L150">
        <f t="shared" si="18"/>
        <v>460</v>
      </c>
      <c r="M150">
        <v>377</v>
      </c>
      <c r="N150">
        <f t="shared" si="19"/>
        <v>258</v>
      </c>
      <c r="O150">
        <v>138</v>
      </c>
      <c r="P150">
        <v>560</v>
      </c>
      <c r="Q150">
        <v>508</v>
      </c>
      <c r="R150">
        <v>425</v>
      </c>
      <c r="S150">
        <f t="shared" si="20"/>
        <v>366</v>
      </c>
      <c r="T150">
        <v>307</v>
      </c>
      <c r="U150">
        <f t="shared" si="21"/>
        <v>214</v>
      </c>
      <c r="V150">
        <v>120</v>
      </c>
      <c r="W150">
        <v>560</v>
      </c>
      <c r="X150">
        <v>508</v>
      </c>
      <c r="Y150">
        <v>425</v>
      </c>
      <c r="Z150">
        <f t="shared" si="22"/>
        <v>366</v>
      </c>
      <c r="AA150">
        <v>307</v>
      </c>
      <c r="AB150">
        <f t="shared" si="23"/>
        <v>214</v>
      </c>
      <c r="AC150">
        <v>120</v>
      </c>
    </row>
    <row r="151" spans="1:29" x14ac:dyDescent="0.25">
      <c r="A151" t="s">
        <v>159</v>
      </c>
      <c r="B151">
        <v>691</v>
      </c>
      <c r="C151">
        <v>616</v>
      </c>
      <c r="D151">
        <v>508</v>
      </c>
      <c r="E151">
        <f t="shared" si="16"/>
        <v>432</v>
      </c>
      <c r="F151">
        <v>355</v>
      </c>
      <c r="G151">
        <f t="shared" si="17"/>
        <v>243</v>
      </c>
      <c r="H151">
        <v>131</v>
      </c>
      <c r="I151">
        <v>691</v>
      </c>
      <c r="J151">
        <v>616</v>
      </c>
      <c r="K151">
        <v>508</v>
      </c>
      <c r="L151">
        <f t="shared" si="18"/>
        <v>432</v>
      </c>
      <c r="M151">
        <v>355</v>
      </c>
      <c r="N151">
        <f t="shared" si="19"/>
        <v>243</v>
      </c>
      <c r="O151">
        <v>131</v>
      </c>
      <c r="P151">
        <v>518</v>
      </c>
      <c r="Q151">
        <v>472</v>
      </c>
      <c r="R151">
        <v>397</v>
      </c>
      <c r="S151">
        <f t="shared" si="20"/>
        <v>343</v>
      </c>
      <c r="T151">
        <v>288</v>
      </c>
      <c r="U151">
        <f t="shared" si="21"/>
        <v>201</v>
      </c>
      <c r="V151">
        <v>114</v>
      </c>
      <c r="W151">
        <v>518</v>
      </c>
      <c r="X151">
        <v>472</v>
      </c>
      <c r="Y151">
        <v>397</v>
      </c>
      <c r="Z151">
        <f t="shared" si="22"/>
        <v>343</v>
      </c>
      <c r="AA151">
        <v>288</v>
      </c>
      <c r="AB151">
        <f t="shared" si="23"/>
        <v>201</v>
      </c>
      <c r="AC151">
        <v>114</v>
      </c>
    </row>
    <row r="152" spans="1:29" x14ac:dyDescent="0.25">
      <c r="A152" t="s">
        <v>160</v>
      </c>
      <c r="B152">
        <v>634</v>
      </c>
      <c r="C152">
        <v>569</v>
      </c>
      <c r="D152">
        <v>471</v>
      </c>
      <c r="E152">
        <f t="shared" si="16"/>
        <v>404</v>
      </c>
      <c r="F152">
        <v>336</v>
      </c>
      <c r="G152">
        <f t="shared" si="17"/>
        <v>230</v>
      </c>
      <c r="H152">
        <v>124</v>
      </c>
      <c r="I152">
        <v>634</v>
      </c>
      <c r="J152">
        <v>569</v>
      </c>
      <c r="K152">
        <v>471</v>
      </c>
      <c r="L152">
        <f t="shared" si="18"/>
        <v>404</v>
      </c>
      <c r="M152">
        <v>336</v>
      </c>
      <c r="N152">
        <f t="shared" si="19"/>
        <v>230</v>
      </c>
      <c r="O152">
        <v>124</v>
      </c>
      <c r="P152">
        <v>475</v>
      </c>
      <c r="Q152">
        <v>435</v>
      </c>
      <c r="R152">
        <v>369</v>
      </c>
      <c r="S152">
        <f t="shared" si="20"/>
        <v>321</v>
      </c>
      <c r="T152">
        <v>273</v>
      </c>
      <c r="U152">
        <f t="shared" si="21"/>
        <v>191</v>
      </c>
      <c r="V152">
        <v>108</v>
      </c>
      <c r="W152">
        <v>475</v>
      </c>
      <c r="X152">
        <v>435</v>
      </c>
      <c r="Y152">
        <v>369</v>
      </c>
      <c r="Z152">
        <f t="shared" si="22"/>
        <v>321</v>
      </c>
      <c r="AA152">
        <v>273</v>
      </c>
      <c r="AB152">
        <f t="shared" si="23"/>
        <v>191</v>
      </c>
      <c r="AC152">
        <v>108</v>
      </c>
    </row>
    <row r="153" spans="1:29" x14ac:dyDescent="0.25">
      <c r="A153" t="s">
        <v>161</v>
      </c>
      <c r="B153">
        <v>576</v>
      </c>
      <c r="C153">
        <v>520</v>
      </c>
      <c r="D153">
        <v>432</v>
      </c>
      <c r="E153">
        <f t="shared" si="16"/>
        <v>372</v>
      </c>
      <c r="F153">
        <v>311</v>
      </c>
      <c r="G153">
        <f t="shared" si="17"/>
        <v>213</v>
      </c>
      <c r="H153">
        <v>114</v>
      </c>
      <c r="I153">
        <v>576</v>
      </c>
      <c r="J153">
        <v>520</v>
      </c>
      <c r="K153">
        <v>432</v>
      </c>
      <c r="L153">
        <f t="shared" si="18"/>
        <v>372</v>
      </c>
      <c r="M153">
        <v>311</v>
      </c>
      <c r="N153">
        <f t="shared" si="19"/>
        <v>213</v>
      </c>
      <c r="O153">
        <v>114</v>
      </c>
      <c r="P153">
        <v>432</v>
      </c>
      <c r="Q153">
        <v>398</v>
      </c>
      <c r="R153">
        <v>338</v>
      </c>
      <c r="S153">
        <f t="shared" si="20"/>
        <v>296</v>
      </c>
      <c r="T153">
        <v>253</v>
      </c>
      <c r="U153">
        <f t="shared" si="21"/>
        <v>176</v>
      </c>
      <c r="V153">
        <v>99</v>
      </c>
      <c r="W153">
        <v>432</v>
      </c>
      <c r="X153">
        <v>398</v>
      </c>
      <c r="Y153">
        <v>338</v>
      </c>
      <c r="Z153">
        <f t="shared" si="22"/>
        <v>296</v>
      </c>
      <c r="AA153">
        <v>253</v>
      </c>
      <c r="AB153">
        <f t="shared" si="23"/>
        <v>176</v>
      </c>
      <c r="AC153">
        <v>99</v>
      </c>
    </row>
    <row r="154" spans="1:29" x14ac:dyDescent="0.25">
      <c r="A154" t="s">
        <v>162</v>
      </c>
      <c r="B154">
        <v>512</v>
      </c>
      <c r="C154">
        <v>464</v>
      </c>
      <c r="D154">
        <v>388</v>
      </c>
      <c r="E154">
        <f t="shared" si="16"/>
        <v>335</v>
      </c>
      <c r="F154">
        <v>281</v>
      </c>
      <c r="G154">
        <f t="shared" si="17"/>
        <v>192</v>
      </c>
      <c r="H154">
        <v>102</v>
      </c>
      <c r="I154">
        <v>512</v>
      </c>
      <c r="J154">
        <v>464</v>
      </c>
      <c r="K154">
        <v>388</v>
      </c>
      <c r="L154">
        <f t="shared" si="18"/>
        <v>335</v>
      </c>
      <c r="M154">
        <v>281</v>
      </c>
      <c r="N154">
        <f t="shared" si="19"/>
        <v>192</v>
      </c>
      <c r="O154">
        <v>102</v>
      </c>
      <c r="P154">
        <v>384</v>
      </c>
      <c r="Q154">
        <v>355</v>
      </c>
      <c r="R154">
        <v>304</v>
      </c>
      <c r="S154">
        <f t="shared" si="20"/>
        <v>266</v>
      </c>
      <c r="T154">
        <v>228</v>
      </c>
      <c r="U154">
        <f t="shared" si="21"/>
        <v>159</v>
      </c>
      <c r="V154">
        <v>89</v>
      </c>
      <c r="W154">
        <v>384</v>
      </c>
      <c r="X154">
        <v>355</v>
      </c>
      <c r="Y154">
        <v>304</v>
      </c>
      <c r="Z154">
        <f t="shared" si="22"/>
        <v>266</v>
      </c>
      <c r="AA154">
        <v>228</v>
      </c>
      <c r="AB154">
        <f t="shared" si="23"/>
        <v>159</v>
      </c>
      <c r="AC154">
        <v>89</v>
      </c>
    </row>
    <row r="155" spans="1:29" x14ac:dyDescent="0.25">
      <c r="A155" t="s">
        <v>163</v>
      </c>
      <c r="B155">
        <v>444</v>
      </c>
      <c r="C155">
        <v>405</v>
      </c>
      <c r="D155">
        <v>342</v>
      </c>
      <c r="E155">
        <f t="shared" si="16"/>
        <v>295</v>
      </c>
      <c r="F155">
        <v>248</v>
      </c>
      <c r="G155">
        <f t="shared" si="17"/>
        <v>170</v>
      </c>
      <c r="H155">
        <v>92</v>
      </c>
      <c r="I155">
        <v>444</v>
      </c>
      <c r="J155">
        <v>405</v>
      </c>
      <c r="K155">
        <v>342</v>
      </c>
      <c r="L155">
        <f t="shared" si="18"/>
        <v>295</v>
      </c>
      <c r="M155">
        <v>248</v>
      </c>
      <c r="N155">
        <f t="shared" si="19"/>
        <v>170</v>
      </c>
      <c r="O155">
        <v>92</v>
      </c>
      <c r="P155">
        <v>333</v>
      </c>
      <c r="Q155">
        <v>310</v>
      </c>
      <c r="R155">
        <v>268</v>
      </c>
      <c r="S155">
        <f t="shared" si="20"/>
        <v>235</v>
      </c>
      <c r="T155">
        <v>202</v>
      </c>
      <c r="U155">
        <f t="shared" si="21"/>
        <v>141</v>
      </c>
      <c r="V155">
        <v>80</v>
      </c>
      <c r="W155">
        <v>333</v>
      </c>
      <c r="X155">
        <v>310</v>
      </c>
      <c r="Y155">
        <v>268</v>
      </c>
      <c r="Z155">
        <f t="shared" si="22"/>
        <v>235</v>
      </c>
      <c r="AA155">
        <v>202</v>
      </c>
      <c r="AB155">
        <f t="shared" si="23"/>
        <v>141</v>
      </c>
      <c r="AC155">
        <v>80</v>
      </c>
    </row>
    <row r="156" spans="1:29" x14ac:dyDescent="0.25">
      <c r="A156" t="s">
        <v>164</v>
      </c>
      <c r="B156">
        <v>740</v>
      </c>
      <c r="C156">
        <v>656</v>
      </c>
      <c r="D156">
        <v>537</v>
      </c>
      <c r="E156">
        <f t="shared" si="16"/>
        <v>455</v>
      </c>
      <c r="F156">
        <v>372</v>
      </c>
      <c r="G156">
        <f t="shared" si="17"/>
        <v>254</v>
      </c>
      <c r="H156">
        <v>136</v>
      </c>
      <c r="I156">
        <v>740</v>
      </c>
      <c r="J156">
        <v>656</v>
      </c>
      <c r="K156">
        <v>537</v>
      </c>
      <c r="L156">
        <f t="shared" si="18"/>
        <v>455</v>
      </c>
      <c r="M156">
        <v>372</v>
      </c>
      <c r="N156">
        <f t="shared" si="19"/>
        <v>254</v>
      </c>
      <c r="O156">
        <v>136</v>
      </c>
      <c r="P156">
        <v>555</v>
      </c>
      <c r="Q156">
        <v>502</v>
      </c>
      <c r="R156">
        <v>420</v>
      </c>
      <c r="S156">
        <f t="shared" si="20"/>
        <v>361</v>
      </c>
      <c r="T156">
        <v>302</v>
      </c>
      <c r="U156">
        <f t="shared" si="21"/>
        <v>210</v>
      </c>
      <c r="V156">
        <v>118</v>
      </c>
      <c r="W156">
        <v>555</v>
      </c>
      <c r="X156">
        <v>502</v>
      </c>
      <c r="Y156">
        <v>420</v>
      </c>
      <c r="Z156">
        <f t="shared" si="22"/>
        <v>361</v>
      </c>
      <c r="AA156">
        <v>302</v>
      </c>
      <c r="AB156">
        <f t="shared" si="23"/>
        <v>210</v>
      </c>
      <c r="AC156">
        <v>118</v>
      </c>
    </row>
    <row r="157" spans="1:29" x14ac:dyDescent="0.25">
      <c r="A157" t="s">
        <v>165</v>
      </c>
      <c r="B157">
        <v>684</v>
      </c>
      <c r="C157">
        <v>610</v>
      </c>
      <c r="D157">
        <v>501</v>
      </c>
      <c r="E157">
        <f t="shared" si="16"/>
        <v>426</v>
      </c>
      <c r="F157">
        <v>350</v>
      </c>
      <c r="G157">
        <f t="shared" si="17"/>
        <v>239</v>
      </c>
      <c r="H157">
        <v>128</v>
      </c>
      <c r="I157">
        <v>684</v>
      </c>
      <c r="J157">
        <v>610</v>
      </c>
      <c r="K157">
        <v>501</v>
      </c>
      <c r="L157">
        <f t="shared" si="18"/>
        <v>426</v>
      </c>
      <c r="M157">
        <v>350</v>
      </c>
      <c r="N157">
        <f t="shared" si="19"/>
        <v>239</v>
      </c>
      <c r="O157">
        <v>128</v>
      </c>
      <c r="P157">
        <v>513</v>
      </c>
      <c r="Q157">
        <v>466</v>
      </c>
      <c r="R157">
        <v>392</v>
      </c>
      <c r="S157">
        <f t="shared" si="20"/>
        <v>338</v>
      </c>
      <c r="T157">
        <v>284</v>
      </c>
      <c r="U157">
        <f t="shared" si="21"/>
        <v>198</v>
      </c>
      <c r="V157">
        <v>112</v>
      </c>
      <c r="W157">
        <v>513</v>
      </c>
      <c r="X157">
        <v>466</v>
      </c>
      <c r="Y157">
        <v>392</v>
      </c>
      <c r="Z157">
        <f t="shared" si="22"/>
        <v>338</v>
      </c>
      <c r="AA157">
        <v>284</v>
      </c>
      <c r="AB157">
        <f t="shared" si="23"/>
        <v>198</v>
      </c>
      <c r="AC157">
        <v>112</v>
      </c>
    </row>
    <row r="158" spans="1:29" x14ac:dyDescent="0.25">
      <c r="A158" t="s">
        <v>166</v>
      </c>
      <c r="B158">
        <v>627</v>
      </c>
      <c r="C158">
        <v>562</v>
      </c>
      <c r="D158">
        <v>464</v>
      </c>
      <c r="E158">
        <f t="shared" si="16"/>
        <v>398</v>
      </c>
      <c r="F158">
        <v>332</v>
      </c>
      <c r="G158">
        <f t="shared" si="17"/>
        <v>227</v>
      </c>
      <c r="H158">
        <v>122</v>
      </c>
      <c r="I158">
        <v>627</v>
      </c>
      <c r="J158">
        <v>562</v>
      </c>
      <c r="K158">
        <v>464</v>
      </c>
      <c r="L158">
        <f t="shared" si="18"/>
        <v>398</v>
      </c>
      <c r="M158">
        <v>332</v>
      </c>
      <c r="N158">
        <f t="shared" si="19"/>
        <v>227</v>
      </c>
      <c r="O158">
        <v>122</v>
      </c>
      <c r="P158">
        <v>470</v>
      </c>
      <c r="Q158">
        <v>430</v>
      </c>
      <c r="R158">
        <v>363</v>
      </c>
      <c r="S158">
        <f t="shared" si="20"/>
        <v>317</v>
      </c>
      <c r="T158">
        <v>270</v>
      </c>
      <c r="U158">
        <f t="shared" si="21"/>
        <v>189</v>
      </c>
      <c r="V158">
        <v>107</v>
      </c>
      <c r="W158">
        <v>470</v>
      </c>
      <c r="X158">
        <v>430</v>
      </c>
      <c r="Y158">
        <v>363</v>
      </c>
      <c r="Z158">
        <f t="shared" si="22"/>
        <v>317</v>
      </c>
      <c r="AA158">
        <v>270</v>
      </c>
      <c r="AB158">
        <f t="shared" si="23"/>
        <v>189</v>
      </c>
      <c r="AC158">
        <v>107</v>
      </c>
    </row>
    <row r="159" spans="1:29" x14ac:dyDescent="0.25">
      <c r="A159" t="s">
        <v>167</v>
      </c>
      <c r="B159">
        <v>569</v>
      </c>
      <c r="C159">
        <v>513</v>
      </c>
      <c r="D159">
        <v>426</v>
      </c>
      <c r="E159">
        <f t="shared" si="16"/>
        <v>367</v>
      </c>
      <c r="F159">
        <v>307</v>
      </c>
      <c r="G159">
        <f t="shared" si="17"/>
        <v>210</v>
      </c>
      <c r="H159">
        <v>113</v>
      </c>
      <c r="I159">
        <v>569</v>
      </c>
      <c r="J159">
        <v>513</v>
      </c>
      <c r="K159">
        <v>426</v>
      </c>
      <c r="L159">
        <f t="shared" si="18"/>
        <v>367</v>
      </c>
      <c r="M159">
        <v>307</v>
      </c>
      <c r="N159">
        <f t="shared" si="19"/>
        <v>210</v>
      </c>
      <c r="O159">
        <v>113</v>
      </c>
      <c r="P159">
        <v>427</v>
      </c>
      <c r="Q159">
        <v>392</v>
      </c>
      <c r="R159">
        <v>333</v>
      </c>
      <c r="S159">
        <f t="shared" si="20"/>
        <v>292</v>
      </c>
      <c r="T159">
        <v>250</v>
      </c>
      <c r="U159">
        <f t="shared" si="21"/>
        <v>175</v>
      </c>
      <c r="V159">
        <v>99</v>
      </c>
      <c r="W159">
        <v>427</v>
      </c>
      <c r="X159">
        <v>392</v>
      </c>
      <c r="Y159">
        <v>333</v>
      </c>
      <c r="Z159">
        <f t="shared" si="22"/>
        <v>292</v>
      </c>
      <c r="AA159">
        <v>250</v>
      </c>
      <c r="AB159">
        <f t="shared" si="23"/>
        <v>175</v>
      </c>
      <c r="AC159">
        <v>99</v>
      </c>
    </row>
    <row r="160" spans="1:29" x14ac:dyDescent="0.25">
      <c r="A160" t="s">
        <v>168</v>
      </c>
      <c r="B160">
        <v>507</v>
      </c>
      <c r="C160">
        <v>460</v>
      </c>
      <c r="D160">
        <v>385</v>
      </c>
      <c r="E160">
        <f t="shared" si="16"/>
        <v>332</v>
      </c>
      <c r="F160">
        <v>278</v>
      </c>
      <c r="G160">
        <f t="shared" si="17"/>
        <v>190</v>
      </c>
      <c r="H160">
        <v>102</v>
      </c>
      <c r="I160">
        <v>507</v>
      </c>
      <c r="J160">
        <v>460</v>
      </c>
      <c r="K160">
        <v>385</v>
      </c>
      <c r="L160">
        <f t="shared" si="18"/>
        <v>332</v>
      </c>
      <c r="M160">
        <v>278</v>
      </c>
      <c r="N160">
        <f t="shared" si="19"/>
        <v>190</v>
      </c>
      <c r="O160">
        <v>102</v>
      </c>
      <c r="P160">
        <v>380</v>
      </c>
      <c r="Q160">
        <v>352</v>
      </c>
      <c r="R160">
        <v>301</v>
      </c>
      <c r="S160">
        <f t="shared" si="20"/>
        <v>264</v>
      </c>
      <c r="T160">
        <v>226</v>
      </c>
      <c r="U160">
        <f t="shared" si="21"/>
        <v>158</v>
      </c>
      <c r="V160">
        <v>89</v>
      </c>
      <c r="W160">
        <v>380</v>
      </c>
      <c r="X160">
        <v>352</v>
      </c>
      <c r="Y160">
        <v>301</v>
      </c>
      <c r="Z160">
        <f t="shared" si="22"/>
        <v>264</v>
      </c>
      <c r="AA160">
        <v>226</v>
      </c>
      <c r="AB160">
        <f t="shared" si="23"/>
        <v>158</v>
      </c>
      <c r="AC160">
        <v>89</v>
      </c>
    </row>
    <row r="161" spans="1:29" x14ac:dyDescent="0.25">
      <c r="A161" t="s">
        <v>169</v>
      </c>
      <c r="B161">
        <v>441</v>
      </c>
      <c r="C161">
        <v>401</v>
      </c>
      <c r="D161">
        <v>338</v>
      </c>
      <c r="E161">
        <f t="shared" si="16"/>
        <v>293</v>
      </c>
      <c r="F161">
        <v>247</v>
      </c>
      <c r="G161">
        <f t="shared" si="17"/>
        <v>169</v>
      </c>
      <c r="H161">
        <v>91</v>
      </c>
      <c r="I161">
        <v>441</v>
      </c>
      <c r="J161">
        <v>401</v>
      </c>
      <c r="K161">
        <v>338</v>
      </c>
      <c r="L161">
        <f t="shared" si="18"/>
        <v>293</v>
      </c>
      <c r="M161">
        <v>247</v>
      </c>
      <c r="N161">
        <f t="shared" si="19"/>
        <v>169</v>
      </c>
      <c r="O161">
        <v>91</v>
      </c>
      <c r="P161">
        <v>330</v>
      </c>
      <c r="Q161">
        <v>307</v>
      </c>
      <c r="R161">
        <v>265</v>
      </c>
      <c r="S161">
        <f t="shared" si="20"/>
        <v>233</v>
      </c>
      <c r="T161">
        <v>201</v>
      </c>
      <c r="U161">
        <f t="shared" si="21"/>
        <v>140</v>
      </c>
      <c r="V161">
        <v>79</v>
      </c>
      <c r="W161">
        <v>330</v>
      </c>
      <c r="X161">
        <v>307</v>
      </c>
      <c r="Y161">
        <v>265</v>
      </c>
      <c r="Z161">
        <f t="shared" si="22"/>
        <v>233</v>
      </c>
      <c r="AA161">
        <v>201</v>
      </c>
      <c r="AB161">
        <f t="shared" si="23"/>
        <v>140</v>
      </c>
      <c r="AC161">
        <v>79</v>
      </c>
    </row>
    <row r="162" spans="1:29" x14ac:dyDescent="0.25">
      <c r="A162" t="s">
        <v>170</v>
      </c>
      <c r="B162">
        <v>676</v>
      </c>
      <c r="C162">
        <v>602</v>
      </c>
      <c r="D162">
        <v>494</v>
      </c>
      <c r="E162">
        <f t="shared" si="16"/>
        <v>420</v>
      </c>
      <c r="F162">
        <v>345</v>
      </c>
      <c r="G162">
        <f t="shared" si="17"/>
        <v>236</v>
      </c>
      <c r="H162">
        <v>126</v>
      </c>
      <c r="I162">
        <v>676</v>
      </c>
      <c r="J162">
        <v>602</v>
      </c>
      <c r="K162">
        <v>494</v>
      </c>
      <c r="L162">
        <f t="shared" si="18"/>
        <v>420</v>
      </c>
      <c r="M162">
        <v>345</v>
      </c>
      <c r="N162">
        <f t="shared" si="19"/>
        <v>236</v>
      </c>
      <c r="O162">
        <v>126</v>
      </c>
      <c r="P162">
        <v>507</v>
      </c>
      <c r="Q162">
        <v>461</v>
      </c>
      <c r="R162">
        <v>387</v>
      </c>
      <c r="S162">
        <f t="shared" si="20"/>
        <v>334</v>
      </c>
      <c r="T162">
        <v>280</v>
      </c>
      <c r="U162">
        <f t="shared" si="21"/>
        <v>195</v>
      </c>
      <c r="V162">
        <v>109</v>
      </c>
      <c r="W162">
        <v>507</v>
      </c>
      <c r="X162">
        <v>461</v>
      </c>
      <c r="Y162">
        <v>387</v>
      </c>
      <c r="Z162">
        <f t="shared" si="22"/>
        <v>334</v>
      </c>
      <c r="AA162">
        <v>280</v>
      </c>
      <c r="AB162">
        <f t="shared" si="23"/>
        <v>195</v>
      </c>
      <c r="AC162">
        <v>109</v>
      </c>
    </row>
    <row r="163" spans="1:29" x14ac:dyDescent="0.25">
      <c r="A163" t="s">
        <v>171</v>
      </c>
      <c r="B163">
        <v>619</v>
      </c>
      <c r="C163">
        <v>554</v>
      </c>
      <c r="D163">
        <v>458</v>
      </c>
      <c r="E163">
        <f t="shared" si="16"/>
        <v>392</v>
      </c>
      <c r="F163">
        <v>326</v>
      </c>
      <c r="G163">
        <f t="shared" si="17"/>
        <v>223</v>
      </c>
      <c r="H163">
        <v>120</v>
      </c>
      <c r="I163">
        <v>619</v>
      </c>
      <c r="J163">
        <v>554</v>
      </c>
      <c r="K163">
        <v>458</v>
      </c>
      <c r="L163">
        <f t="shared" si="18"/>
        <v>392</v>
      </c>
      <c r="M163">
        <v>326</v>
      </c>
      <c r="N163">
        <f t="shared" si="19"/>
        <v>223</v>
      </c>
      <c r="O163">
        <v>120</v>
      </c>
      <c r="P163">
        <v>464</v>
      </c>
      <c r="Q163">
        <v>424</v>
      </c>
      <c r="R163">
        <v>358</v>
      </c>
      <c r="S163">
        <f t="shared" si="20"/>
        <v>312</v>
      </c>
      <c r="T163">
        <v>265</v>
      </c>
      <c r="U163">
        <f t="shared" si="21"/>
        <v>185</v>
      </c>
      <c r="V163">
        <v>104</v>
      </c>
      <c r="W163">
        <v>464</v>
      </c>
      <c r="X163">
        <v>424</v>
      </c>
      <c r="Y163">
        <v>358</v>
      </c>
      <c r="Z163">
        <f t="shared" si="22"/>
        <v>312</v>
      </c>
      <c r="AA163">
        <v>265</v>
      </c>
      <c r="AB163">
        <f t="shared" si="23"/>
        <v>185</v>
      </c>
      <c r="AC163">
        <v>104</v>
      </c>
    </row>
    <row r="164" spans="1:29" x14ac:dyDescent="0.25">
      <c r="A164" t="s">
        <v>172</v>
      </c>
      <c r="B164">
        <v>561</v>
      </c>
      <c r="C164">
        <v>505</v>
      </c>
      <c r="D164">
        <v>420</v>
      </c>
      <c r="E164">
        <f t="shared" si="16"/>
        <v>361</v>
      </c>
      <c r="F164">
        <v>302</v>
      </c>
      <c r="G164">
        <f t="shared" si="17"/>
        <v>207</v>
      </c>
      <c r="H164">
        <v>111</v>
      </c>
      <c r="I164">
        <v>561</v>
      </c>
      <c r="J164">
        <v>505</v>
      </c>
      <c r="K164">
        <v>420</v>
      </c>
      <c r="L164">
        <f t="shared" si="18"/>
        <v>361</v>
      </c>
      <c r="M164">
        <v>302</v>
      </c>
      <c r="N164">
        <f t="shared" si="19"/>
        <v>207</v>
      </c>
      <c r="O164">
        <v>111</v>
      </c>
      <c r="P164">
        <v>421</v>
      </c>
      <c r="Q164">
        <v>386</v>
      </c>
      <c r="R164">
        <v>329</v>
      </c>
      <c r="S164">
        <f t="shared" si="20"/>
        <v>287</v>
      </c>
      <c r="T164">
        <v>245</v>
      </c>
      <c r="U164">
        <f t="shared" si="21"/>
        <v>171</v>
      </c>
      <c r="V164">
        <v>97</v>
      </c>
      <c r="W164">
        <v>421</v>
      </c>
      <c r="X164">
        <v>386</v>
      </c>
      <c r="Y164">
        <v>329</v>
      </c>
      <c r="Z164">
        <f t="shared" si="22"/>
        <v>287</v>
      </c>
      <c r="AA164">
        <v>245</v>
      </c>
      <c r="AB164">
        <f t="shared" si="23"/>
        <v>171</v>
      </c>
      <c r="AC164">
        <v>97</v>
      </c>
    </row>
    <row r="165" spans="1:29" x14ac:dyDescent="0.25">
      <c r="A165" t="s">
        <v>173</v>
      </c>
      <c r="B165">
        <v>501</v>
      </c>
      <c r="C165">
        <v>455</v>
      </c>
      <c r="D165">
        <v>380</v>
      </c>
      <c r="E165">
        <f t="shared" si="16"/>
        <v>328</v>
      </c>
      <c r="F165">
        <v>276</v>
      </c>
      <c r="G165">
        <f t="shared" si="17"/>
        <v>189</v>
      </c>
      <c r="H165">
        <v>102</v>
      </c>
      <c r="I165">
        <v>501</v>
      </c>
      <c r="J165">
        <v>455</v>
      </c>
      <c r="K165">
        <v>380</v>
      </c>
      <c r="L165">
        <f t="shared" si="18"/>
        <v>328</v>
      </c>
      <c r="M165">
        <v>276</v>
      </c>
      <c r="N165">
        <f t="shared" si="19"/>
        <v>189</v>
      </c>
      <c r="O165">
        <v>102</v>
      </c>
      <c r="P165">
        <v>376</v>
      </c>
      <c r="Q165">
        <v>348</v>
      </c>
      <c r="R165">
        <v>297</v>
      </c>
      <c r="S165">
        <f t="shared" si="20"/>
        <v>261</v>
      </c>
      <c r="T165">
        <v>224</v>
      </c>
      <c r="U165">
        <f t="shared" si="21"/>
        <v>157</v>
      </c>
      <c r="V165">
        <v>89</v>
      </c>
      <c r="W165">
        <v>376</v>
      </c>
      <c r="X165">
        <v>348</v>
      </c>
      <c r="Y165">
        <v>297</v>
      </c>
      <c r="Z165">
        <f t="shared" si="22"/>
        <v>261</v>
      </c>
      <c r="AA165">
        <v>224</v>
      </c>
      <c r="AB165">
        <f t="shared" si="23"/>
        <v>157</v>
      </c>
      <c r="AC165">
        <v>89</v>
      </c>
    </row>
    <row r="166" spans="1:29" x14ac:dyDescent="0.25">
      <c r="A166" t="s">
        <v>174</v>
      </c>
      <c r="B166">
        <v>437</v>
      </c>
      <c r="C166">
        <v>396</v>
      </c>
      <c r="D166">
        <v>335</v>
      </c>
      <c r="E166">
        <f t="shared" si="16"/>
        <v>290</v>
      </c>
      <c r="F166">
        <v>244</v>
      </c>
      <c r="G166">
        <f t="shared" si="17"/>
        <v>168</v>
      </c>
      <c r="H166">
        <v>91</v>
      </c>
      <c r="I166">
        <v>437</v>
      </c>
      <c r="J166">
        <v>396</v>
      </c>
      <c r="K166">
        <v>335</v>
      </c>
      <c r="L166">
        <f t="shared" si="18"/>
        <v>290</v>
      </c>
      <c r="M166">
        <v>244</v>
      </c>
      <c r="N166">
        <f t="shared" si="19"/>
        <v>168</v>
      </c>
      <c r="O166">
        <v>91</v>
      </c>
      <c r="P166">
        <v>327</v>
      </c>
      <c r="Q166">
        <v>303</v>
      </c>
      <c r="R166">
        <v>262</v>
      </c>
      <c r="S166">
        <f t="shared" si="20"/>
        <v>231</v>
      </c>
      <c r="T166">
        <v>199</v>
      </c>
      <c r="U166">
        <f t="shared" si="21"/>
        <v>139</v>
      </c>
      <c r="V166">
        <v>79</v>
      </c>
      <c r="W166">
        <v>327</v>
      </c>
      <c r="X166">
        <v>303</v>
      </c>
      <c r="Y166">
        <v>262</v>
      </c>
      <c r="Z166">
        <f t="shared" si="22"/>
        <v>231</v>
      </c>
      <c r="AA166">
        <v>199</v>
      </c>
      <c r="AB166">
        <f t="shared" si="23"/>
        <v>139</v>
      </c>
      <c r="AC166">
        <v>79</v>
      </c>
    </row>
    <row r="167" spans="1:29" x14ac:dyDescent="0.25">
      <c r="A167" t="s">
        <v>175</v>
      </c>
      <c r="B167">
        <v>611</v>
      </c>
      <c r="C167">
        <v>546</v>
      </c>
      <c r="D167">
        <v>450</v>
      </c>
      <c r="E167">
        <f t="shared" si="16"/>
        <v>386</v>
      </c>
      <c r="F167">
        <v>321</v>
      </c>
      <c r="G167">
        <f t="shared" si="17"/>
        <v>219</v>
      </c>
      <c r="H167">
        <v>117</v>
      </c>
      <c r="I167">
        <v>611</v>
      </c>
      <c r="J167">
        <v>546</v>
      </c>
      <c r="K167">
        <v>450</v>
      </c>
      <c r="L167">
        <f t="shared" si="18"/>
        <v>386</v>
      </c>
      <c r="M167">
        <v>321</v>
      </c>
      <c r="N167">
        <f t="shared" si="19"/>
        <v>219</v>
      </c>
      <c r="O167">
        <v>117</v>
      </c>
      <c r="P167">
        <v>458</v>
      </c>
      <c r="Q167">
        <v>418</v>
      </c>
      <c r="R167">
        <v>353</v>
      </c>
      <c r="S167">
        <f t="shared" si="20"/>
        <v>307</v>
      </c>
      <c r="T167">
        <v>261</v>
      </c>
      <c r="U167">
        <f t="shared" si="21"/>
        <v>182</v>
      </c>
      <c r="V167">
        <v>102</v>
      </c>
      <c r="W167">
        <v>458</v>
      </c>
      <c r="X167">
        <v>418</v>
      </c>
      <c r="Y167">
        <v>353</v>
      </c>
      <c r="Z167">
        <f t="shared" si="22"/>
        <v>307</v>
      </c>
      <c r="AA167">
        <v>261</v>
      </c>
      <c r="AB167">
        <f t="shared" si="23"/>
        <v>182</v>
      </c>
      <c r="AC167">
        <v>102</v>
      </c>
    </row>
    <row r="168" spans="1:29" x14ac:dyDescent="0.25">
      <c r="A168" t="s">
        <v>176</v>
      </c>
      <c r="B168">
        <v>552</v>
      </c>
      <c r="C168">
        <v>497</v>
      </c>
      <c r="D168">
        <v>412</v>
      </c>
      <c r="E168">
        <f t="shared" si="16"/>
        <v>354</v>
      </c>
      <c r="F168">
        <v>296</v>
      </c>
      <c r="G168">
        <f t="shared" si="17"/>
        <v>203</v>
      </c>
      <c r="H168">
        <v>110</v>
      </c>
      <c r="I168">
        <v>552</v>
      </c>
      <c r="J168">
        <v>497</v>
      </c>
      <c r="K168">
        <v>412</v>
      </c>
      <c r="L168">
        <f t="shared" si="18"/>
        <v>354</v>
      </c>
      <c r="M168">
        <v>296</v>
      </c>
      <c r="N168">
        <f t="shared" si="19"/>
        <v>203</v>
      </c>
      <c r="O168">
        <v>110</v>
      </c>
      <c r="P168">
        <v>414</v>
      </c>
      <c r="Q168">
        <v>380</v>
      </c>
      <c r="R168">
        <v>323</v>
      </c>
      <c r="S168">
        <f t="shared" si="20"/>
        <v>282</v>
      </c>
      <c r="T168">
        <v>240</v>
      </c>
      <c r="U168">
        <f t="shared" si="21"/>
        <v>168</v>
      </c>
      <c r="V168">
        <v>96</v>
      </c>
      <c r="W168">
        <v>414</v>
      </c>
      <c r="X168">
        <v>380</v>
      </c>
      <c r="Y168">
        <v>323</v>
      </c>
      <c r="Z168">
        <f t="shared" si="22"/>
        <v>282</v>
      </c>
      <c r="AA168">
        <v>240</v>
      </c>
      <c r="AB168">
        <f t="shared" si="23"/>
        <v>168</v>
      </c>
      <c r="AC168">
        <v>96</v>
      </c>
    </row>
    <row r="169" spans="1:29" x14ac:dyDescent="0.25">
      <c r="A169" t="s">
        <v>177</v>
      </c>
      <c r="B169">
        <v>494</v>
      </c>
      <c r="C169">
        <v>446</v>
      </c>
      <c r="D169">
        <v>372</v>
      </c>
      <c r="E169">
        <f t="shared" si="16"/>
        <v>322</v>
      </c>
      <c r="F169">
        <v>271</v>
      </c>
      <c r="G169">
        <f t="shared" si="17"/>
        <v>186</v>
      </c>
      <c r="H169">
        <v>101</v>
      </c>
      <c r="I169">
        <v>494</v>
      </c>
      <c r="J169">
        <v>446</v>
      </c>
      <c r="K169">
        <v>372</v>
      </c>
      <c r="L169">
        <f t="shared" si="18"/>
        <v>322</v>
      </c>
      <c r="M169">
        <v>271</v>
      </c>
      <c r="N169">
        <f t="shared" si="19"/>
        <v>186</v>
      </c>
      <c r="O169">
        <v>101</v>
      </c>
      <c r="P169">
        <v>370</v>
      </c>
      <c r="Q169">
        <v>341</v>
      </c>
      <c r="R169">
        <v>291</v>
      </c>
      <c r="S169">
        <f t="shared" si="20"/>
        <v>256</v>
      </c>
      <c r="T169">
        <v>220</v>
      </c>
      <c r="U169">
        <f t="shared" si="21"/>
        <v>154</v>
      </c>
      <c r="V169">
        <v>88</v>
      </c>
      <c r="W169">
        <v>370</v>
      </c>
      <c r="X169">
        <v>341</v>
      </c>
      <c r="Y169">
        <v>291</v>
      </c>
      <c r="Z169">
        <f t="shared" si="22"/>
        <v>256</v>
      </c>
      <c r="AA169">
        <v>220</v>
      </c>
      <c r="AB169">
        <f t="shared" si="23"/>
        <v>154</v>
      </c>
      <c r="AC169">
        <v>88</v>
      </c>
    </row>
    <row r="170" spans="1:29" x14ac:dyDescent="0.25">
      <c r="A170" t="s">
        <v>178</v>
      </c>
      <c r="B170">
        <v>431</v>
      </c>
      <c r="C170">
        <v>392</v>
      </c>
      <c r="D170">
        <v>331</v>
      </c>
      <c r="E170">
        <f t="shared" si="16"/>
        <v>287</v>
      </c>
      <c r="F170">
        <v>242</v>
      </c>
      <c r="G170">
        <f t="shared" si="17"/>
        <v>167</v>
      </c>
      <c r="H170">
        <v>91</v>
      </c>
      <c r="I170">
        <v>431</v>
      </c>
      <c r="J170">
        <v>392</v>
      </c>
      <c r="K170">
        <v>331</v>
      </c>
      <c r="L170">
        <f t="shared" si="18"/>
        <v>287</v>
      </c>
      <c r="M170">
        <v>242</v>
      </c>
      <c r="N170">
        <f t="shared" si="19"/>
        <v>167</v>
      </c>
      <c r="O170">
        <v>91</v>
      </c>
      <c r="P170">
        <v>323</v>
      </c>
      <c r="Q170">
        <v>300</v>
      </c>
      <c r="R170">
        <v>259</v>
      </c>
      <c r="S170">
        <f t="shared" si="20"/>
        <v>228</v>
      </c>
      <c r="T170">
        <v>197</v>
      </c>
      <c r="U170">
        <f t="shared" si="21"/>
        <v>138</v>
      </c>
      <c r="V170">
        <v>79</v>
      </c>
      <c r="W170">
        <v>323</v>
      </c>
      <c r="X170">
        <v>300</v>
      </c>
      <c r="Y170">
        <v>259</v>
      </c>
      <c r="Z170">
        <f t="shared" si="22"/>
        <v>228</v>
      </c>
      <c r="AA170">
        <v>197</v>
      </c>
      <c r="AB170">
        <f t="shared" si="23"/>
        <v>138</v>
      </c>
      <c r="AC170">
        <v>79</v>
      </c>
    </row>
    <row r="171" spans="1:29" x14ac:dyDescent="0.25">
      <c r="A171" t="s">
        <v>179</v>
      </c>
      <c r="B171">
        <v>609</v>
      </c>
      <c r="C171">
        <v>545</v>
      </c>
      <c r="D171">
        <v>449</v>
      </c>
      <c r="E171">
        <f t="shared" si="16"/>
        <v>385</v>
      </c>
      <c r="F171">
        <v>320</v>
      </c>
      <c r="G171">
        <f t="shared" si="17"/>
        <v>219</v>
      </c>
      <c r="H171">
        <v>117</v>
      </c>
      <c r="I171">
        <v>609</v>
      </c>
      <c r="J171">
        <v>545</v>
      </c>
      <c r="K171">
        <v>449</v>
      </c>
      <c r="L171">
        <f t="shared" si="18"/>
        <v>385</v>
      </c>
      <c r="M171">
        <v>320</v>
      </c>
      <c r="N171">
        <f t="shared" si="19"/>
        <v>219</v>
      </c>
      <c r="O171">
        <v>117</v>
      </c>
      <c r="P171">
        <v>457</v>
      </c>
      <c r="Q171">
        <v>417</v>
      </c>
      <c r="R171">
        <v>351</v>
      </c>
      <c r="S171">
        <f t="shared" si="20"/>
        <v>306</v>
      </c>
      <c r="T171">
        <v>260</v>
      </c>
      <c r="U171">
        <f t="shared" si="21"/>
        <v>181</v>
      </c>
      <c r="V171">
        <v>102</v>
      </c>
      <c r="W171">
        <v>457</v>
      </c>
      <c r="X171">
        <v>417</v>
      </c>
      <c r="Y171">
        <v>351</v>
      </c>
      <c r="Z171">
        <f t="shared" si="22"/>
        <v>306</v>
      </c>
      <c r="AA171">
        <v>260</v>
      </c>
      <c r="AB171">
        <f t="shared" si="23"/>
        <v>181</v>
      </c>
      <c r="AC171">
        <v>102</v>
      </c>
    </row>
    <row r="172" spans="1:29" x14ac:dyDescent="0.25">
      <c r="A172" t="s">
        <v>180</v>
      </c>
      <c r="B172">
        <v>552</v>
      </c>
      <c r="C172">
        <v>496</v>
      </c>
      <c r="D172">
        <v>411</v>
      </c>
      <c r="E172">
        <f t="shared" si="16"/>
        <v>354</v>
      </c>
      <c r="F172">
        <v>296</v>
      </c>
      <c r="G172">
        <f t="shared" si="17"/>
        <v>203</v>
      </c>
      <c r="H172">
        <v>109</v>
      </c>
      <c r="I172">
        <v>552</v>
      </c>
      <c r="J172">
        <v>496</v>
      </c>
      <c r="K172">
        <v>411</v>
      </c>
      <c r="L172">
        <f t="shared" si="18"/>
        <v>354</v>
      </c>
      <c r="M172">
        <v>296</v>
      </c>
      <c r="N172">
        <f t="shared" si="19"/>
        <v>203</v>
      </c>
      <c r="O172">
        <v>109</v>
      </c>
      <c r="P172">
        <v>414</v>
      </c>
      <c r="Q172">
        <v>379</v>
      </c>
      <c r="R172">
        <v>322</v>
      </c>
      <c r="S172">
        <f t="shared" si="20"/>
        <v>281</v>
      </c>
      <c r="T172">
        <v>240</v>
      </c>
      <c r="U172">
        <f t="shared" si="21"/>
        <v>168</v>
      </c>
      <c r="V172">
        <v>95</v>
      </c>
      <c r="W172">
        <v>414</v>
      </c>
      <c r="X172">
        <v>379</v>
      </c>
      <c r="Y172">
        <v>322</v>
      </c>
      <c r="Z172">
        <f t="shared" si="22"/>
        <v>281</v>
      </c>
      <c r="AA172">
        <v>240</v>
      </c>
      <c r="AB172">
        <f t="shared" si="23"/>
        <v>168</v>
      </c>
      <c r="AC172">
        <v>95</v>
      </c>
    </row>
    <row r="173" spans="1:29" x14ac:dyDescent="0.25">
      <c r="A173" t="s">
        <v>181</v>
      </c>
      <c r="B173">
        <v>494</v>
      </c>
      <c r="C173">
        <v>447</v>
      </c>
      <c r="D173">
        <v>372</v>
      </c>
      <c r="E173">
        <f t="shared" si="16"/>
        <v>322</v>
      </c>
      <c r="F173">
        <v>271</v>
      </c>
      <c r="G173">
        <f t="shared" si="17"/>
        <v>186</v>
      </c>
      <c r="H173">
        <v>101</v>
      </c>
      <c r="I173">
        <v>494</v>
      </c>
      <c r="J173">
        <v>447</v>
      </c>
      <c r="K173">
        <v>372</v>
      </c>
      <c r="L173">
        <f t="shared" si="18"/>
        <v>322</v>
      </c>
      <c r="M173">
        <v>271</v>
      </c>
      <c r="N173">
        <f t="shared" si="19"/>
        <v>186</v>
      </c>
      <c r="O173">
        <v>101</v>
      </c>
      <c r="P173">
        <v>370</v>
      </c>
      <c r="Q173">
        <v>342</v>
      </c>
      <c r="R173">
        <v>291</v>
      </c>
      <c r="S173">
        <f t="shared" si="20"/>
        <v>256</v>
      </c>
      <c r="T173">
        <v>220</v>
      </c>
      <c r="U173">
        <f t="shared" si="21"/>
        <v>154</v>
      </c>
      <c r="V173">
        <v>88</v>
      </c>
      <c r="W173">
        <v>370</v>
      </c>
      <c r="X173">
        <v>342</v>
      </c>
      <c r="Y173">
        <v>291</v>
      </c>
      <c r="Z173">
        <f t="shared" si="22"/>
        <v>256</v>
      </c>
      <c r="AA173">
        <v>220</v>
      </c>
      <c r="AB173">
        <f t="shared" si="23"/>
        <v>154</v>
      </c>
      <c r="AC173">
        <v>88</v>
      </c>
    </row>
    <row r="174" spans="1:29" x14ac:dyDescent="0.25">
      <c r="A174" t="s">
        <v>182</v>
      </c>
      <c r="B174">
        <v>431</v>
      </c>
      <c r="C174">
        <v>393</v>
      </c>
      <c r="D174">
        <v>331</v>
      </c>
      <c r="E174">
        <f t="shared" si="16"/>
        <v>287</v>
      </c>
      <c r="F174">
        <v>242</v>
      </c>
      <c r="G174">
        <f t="shared" si="17"/>
        <v>166</v>
      </c>
      <c r="H174">
        <v>90</v>
      </c>
      <c r="I174">
        <v>431</v>
      </c>
      <c r="J174">
        <v>393</v>
      </c>
      <c r="K174">
        <v>331</v>
      </c>
      <c r="L174">
        <f t="shared" si="18"/>
        <v>287</v>
      </c>
      <c r="M174">
        <v>242</v>
      </c>
      <c r="N174">
        <f t="shared" si="19"/>
        <v>166</v>
      </c>
      <c r="O174">
        <v>90</v>
      </c>
      <c r="P174">
        <v>323</v>
      </c>
      <c r="Q174">
        <v>301</v>
      </c>
      <c r="R174">
        <v>259</v>
      </c>
      <c r="S174">
        <f t="shared" si="20"/>
        <v>228</v>
      </c>
      <c r="T174">
        <v>197</v>
      </c>
      <c r="U174">
        <f t="shared" si="21"/>
        <v>138</v>
      </c>
      <c r="V174">
        <v>78</v>
      </c>
      <c r="W174">
        <v>323</v>
      </c>
      <c r="X174">
        <v>301</v>
      </c>
      <c r="Y174">
        <v>259</v>
      </c>
      <c r="Z174">
        <f t="shared" si="22"/>
        <v>228</v>
      </c>
      <c r="AA174">
        <v>197</v>
      </c>
      <c r="AB174">
        <f t="shared" si="23"/>
        <v>138</v>
      </c>
      <c r="AC174">
        <v>78</v>
      </c>
    </row>
    <row r="175" spans="1:29" x14ac:dyDescent="0.25">
      <c r="A175" t="s">
        <v>183</v>
      </c>
      <c r="B175">
        <v>475</v>
      </c>
      <c r="C175">
        <v>429</v>
      </c>
      <c r="D175">
        <v>357</v>
      </c>
      <c r="E175">
        <f t="shared" si="16"/>
        <v>308</v>
      </c>
      <c r="F175">
        <v>258</v>
      </c>
      <c r="G175">
        <f t="shared" si="17"/>
        <v>178</v>
      </c>
      <c r="H175">
        <v>97</v>
      </c>
      <c r="I175">
        <v>475</v>
      </c>
      <c r="J175">
        <v>429</v>
      </c>
      <c r="K175">
        <v>357</v>
      </c>
      <c r="L175">
        <f t="shared" si="18"/>
        <v>308</v>
      </c>
      <c r="M175">
        <v>258</v>
      </c>
      <c r="N175">
        <f t="shared" si="19"/>
        <v>178</v>
      </c>
      <c r="O175">
        <v>97</v>
      </c>
      <c r="P175">
        <v>356</v>
      </c>
      <c r="Q175">
        <v>328</v>
      </c>
      <c r="R175">
        <v>279</v>
      </c>
      <c r="S175">
        <f t="shared" si="20"/>
        <v>245</v>
      </c>
      <c r="T175">
        <v>210</v>
      </c>
      <c r="U175">
        <f t="shared" si="21"/>
        <v>147</v>
      </c>
      <c r="V175">
        <v>84</v>
      </c>
      <c r="W175">
        <v>356</v>
      </c>
      <c r="X175">
        <v>328</v>
      </c>
      <c r="Y175">
        <v>279</v>
      </c>
      <c r="Z175">
        <f t="shared" si="22"/>
        <v>245</v>
      </c>
      <c r="AA175">
        <v>210</v>
      </c>
      <c r="AB175">
        <f t="shared" si="23"/>
        <v>147</v>
      </c>
      <c r="AC175">
        <v>84</v>
      </c>
    </row>
    <row r="176" spans="1:29" x14ac:dyDescent="0.25">
      <c r="A176" t="s">
        <v>184</v>
      </c>
      <c r="B176">
        <v>415</v>
      </c>
      <c r="C176">
        <v>376</v>
      </c>
      <c r="D176">
        <v>316</v>
      </c>
      <c r="E176">
        <f t="shared" si="16"/>
        <v>274</v>
      </c>
      <c r="F176">
        <v>232</v>
      </c>
      <c r="G176">
        <f t="shared" si="17"/>
        <v>160</v>
      </c>
      <c r="H176">
        <v>87</v>
      </c>
      <c r="I176">
        <v>415</v>
      </c>
      <c r="J176">
        <v>376</v>
      </c>
      <c r="K176">
        <v>316</v>
      </c>
      <c r="L176">
        <f t="shared" si="18"/>
        <v>274</v>
      </c>
      <c r="M176">
        <v>232</v>
      </c>
      <c r="N176">
        <f t="shared" si="19"/>
        <v>160</v>
      </c>
      <c r="O176">
        <v>87</v>
      </c>
      <c r="P176">
        <v>311</v>
      </c>
      <c r="Q176">
        <v>288</v>
      </c>
      <c r="R176">
        <v>248</v>
      </c>
      <c r="S176">
        <f t="shared" si="20"/>
        <v>218</v>
      </c>
      <c r="T176">
        <v>188</v>
      </c>
      <c r="U176">
        <f t="shared" si="21"/>
        <v>132</v>
      </c>
      <c r="V176">
        <v>76</v>
      </c>
      <c r="W176">
        <v>311</v>
      </c>
      <c r="X176">
        <v>288</v>
      </c>
      <c r="Y176">
        <v>248</v>
      </c>
      <c r="Z176">
        <f t="shared" si="22"/>
        <v>218</v>
      </c>
      <c r="AA176">
        <v>188</v>
      </c>
      <c r="AB176">
        <f t="shared" si="23"/>
        <v>132</v>
      </c>
      <c r="AC176">
        <v>76</v>
      </c>
    </row>
    <row r="177" spans="1:29" x14ac:dyDescent="0.25">
      <c r="A177" t="s">
        <v>185</v>
      </c>
      <c r="B177">
        <v>405</v>
      </c>
      <c r="C177">
        <v>367</v>
      </c>
      <c r="D177">
        <v>308</v>
      </c>
      <c r="E177">
        <f t="shared" si="16"/>
        <v>266</v>
      </c>
      <c r="F177">
        <v>224</v>
      </c>
      <c r="G177">
        <f t="shared" si="17"/>
        <v>155</v>
      </c>
      <c r="H177">
        <v>85</v>
      </c>
      <c r="I177">
        <v>405</v>
      </c>
      <c r="J177">
        <v>367</v>
      </c>
      <c r="K177">
        <v>308</v>
      </c>
      <c r="L177">
        <f t="shared" si="18"/>
        <v>266</v>
      </c>
      <c r="M177">
        <v>224</v>
      </c>
      <c r="N177">
        <f t="shared" si="19"/>
        <v>155</v>
      </c>
      <c r="O177">
        <v>85</v>
      </c>
      <c r="P177">
        <v>303</v>
      </c>
      <c r="Q177">
        <v>281</v>
      </c>
      <c r="R177">
        <v>241</v>
      </c>
      <c r="S177">
        <f t="shared" si="20"/>
        <v>212</v>
      </c>
      <c r="T177">
        <v>182</v>
      </c>
      <c r="U177">
        <f t="shared" si="21"/>
        <v>128</v>
      </c>
      <c r="V177">
        <v>74</v>
      </c>
      <c r="W177">
        <v>303</v>
      </c>
      <c r="X177">
        <v>281</v>
      </c>
      <c r="Y177">
        <v>241</v>
      </c>
      <c r="Z177">
        <f t="shared" si="22"/>
        <v>212</v>
      </c>
      <c r="AA177">
        <v>182</v>
      </c>
      <c r="AB177">
        <f t="shared" si="23"/>
        <v>128</v>
      </c>
      <c r="AC177">
        <v>74</v>
      </c>
    </row>
    <row r="178" spans="1:29" x14ac:dyDescent="0.25">
      <c r="A178" t="s">
        <v>186</v>
      </c>
      <c r="B178">
        <v>1545</v>
      </c>
      <c r="C178">
        <v>1347</v>
      </c>
      <c r="D178">
        <v>1092</v>
      </c>
      <c r="E178">
        <f t="shared" si="16"/>
        <v>930</v>
      </c>
      <c r="F178">
        <v>767</v>
      </c>
      <c r="G178">
        <f t="shared" si="17"/>
        <v>531</v>
      </c>
      <c r="H178">
        <v>295</v>
      </c>
      <c r="I178">
        <v>1118</v>
      </c>
      <c r="J178">
        <v>966</v>
      </c>
      <c r="K178">
        <v>778</v>
      </c>
      <c r="L178">
        <f t="shared" si="18"/>
        <v>660</v>
      </c>
      <c r="M178">
        <v>541</v>
      </c>
      <c r="N178">
        <f t="shared" si="19"/>
        <v>374</v>
      </c>
      <c r="O178">
        <v>207</v>
      </c>
      <c r="P178">
        <v>1158</v>
      </c>
      <c r="Q178">
        <v>1031</v>
      </c>
      <c r="R178">
        <v>855</v>
      </c>
      <c r="S178">
        <f t="shared" si="20"/>
        <v>739</v>
      </c>
      <c r="T178">
        <v>623</v>
      </c>
      <c r="U178">
        <f t="shared" si="21"/>
        <v>440</v>
      </c>
      <c r="V178">
        <v>257</v>
      </c>
      <c r="W178">
        <v>838</v>
      </c>
      <c r="X178">
        <v>740</v>
      </c>
      <c r="Y178">
        <v>609</v>
      </c>
      <c r="Z178">
        <f t="shared" si="22"/>
        <v>525</v>
      </c>
      <c r="AA178">
        <v>440</v>
      </c>
      <c r="AB178">
        <f t="shared" si="23"/>
        <v>310</v>
      </c>
      <c r="AC178">
        <v>180</v>
      </c>
    </row>
    <row r="179" spans="1:29" x14ac:dyDescent="0.25">
      <c r="A179" t="s">
        <v>187</v>
      </c>
      <c r="B179">
        <v>1430</v>
      </c>
      <c r="C179">
        <v>1253</v>
      </c>
      <c r="D179">
        <v>1020</v>
      </c>
      <c r="E179">
        <f t="shared" si="16"/>
        <v>870</v>
      </c>
      <c r="F179">
        <v>720</v>
      </c>
      <c r="G179">
        <f t="shared" si="17"/>
        <v>498</v>
      </c>
      <c r="H179">
        <v>276</v>
      </c>
      <c r="I179">
        <v>1066</v>
      </c>
      <c r="J179">
        <v>925</v>
      </c>
      <c r="K179">
        <v>746</v>
      </c>
      <c r="L179">
        <f t="shared" si="18"/>
        <v>634</v>
      </c>
      <c r="M179">
        <v>521</v>
      </c>
      <c r="N179">
        <f t="shared" si="19"/>
        <v>359</v>
      </c>
      <c r="O179">
        <v>197</v>
      </c>
      <c r="P179">
        <v>1072</v>
      </c>
      <c r="Q179">
        <v>959</v>
      </c>
      <c r="R179">
        <v>798</v>
      </c>
      <c r="S179">
        <f t="shared" si="20"/>
        <v>691</v>
      </c>
      <c r="T179">
        <v>584</v>
      </c>
      <c r="U179">
        <f t="shared" si="21"/>
        <v>413</v>
      </c>
      <c r="V179">
        <v>241</v>
      </c>
      <c r="W179">
        <v>799</v>
      </c>
      <c r="X179">
        <v>708</v>
      </c>
      <c r="Y179">
        <v>584</v>
      </c>
      <c r="Z179">
        <f t="shared" si="22"/>
        <v>503</v>
      </c>
      <c r="AA179">
        <v>422</v>
      </c>
      <c r="AB179">
        <f t="shared" si="23"/>
        <v>297</v>
      </c>
      <c r="AC179">
        <v>172</v>
      </c>
    </row>
    <row r="180" spans="1:29" x14ac:dyDescent="0.25">
      <c r="A180" t="s">
        <v>188</v>
      </c>
      <c r="B180">
        <v>1312</v>
      </c>
      <c r="C180">
        <v>1156</v>
      </c>
      <c r="D180">
        <v>944</v>
      </c>
      <c r="E180">
        <f t="shared" si="16"/>
        <v>806</v>
      </c>
      <c r="F180">
        <v>668</v>
      </c>
      <c r="G180">
        <f t="shared" si="17"/>
        <v>462</v>
      </c>
      <c r="H180">
        <v>256</v>
      </c>
      <c r="I180">
        <v>1016</v>
      </c>
      <c r="J180">
        <v>885</v>
      </c>
      <c r="K180">
        <v>713</v>
      </c>
      <c r="L180">
        <f t="shared" si="18"/>
        <v>606</v>
      </c>
      <c r="M180">
        <v>498</v>
      </c>
      <c r="N180">
        <f t="shared" si="19"/>
        <v>343</v>
      </c>
      <c r="O180">
        <v>188</v>
      </c>
      <c r="P180">
        <v>984</v>
      </c>
      <c r="Q180">
        <v>884</v>
      </c>
      <c r="R180">
        <v>739</v>
      </c>
      <c r="S180">
        <f t="shared" si="20"/>
        <v>641</v>
      </c>
      <c r="T180">
        <v>543</v>
      </c>
      <c r="U180">
        <f t="shared" si="21"/>
        <v>383</v>
      </c>
      <c r="V180">
        <v>223</v>
      </c>
      <c r="W180">
        <v>762</v>
      </c>
      <c r="X180">
        <v>677</v>
      </c>
      <c r="Y180">
        <v>558</v>
      </c>
      <c r="Z180">
        <f t="shared" si="22"/>
        <v>481</v>
      </c>
      <c r="AA180">
        <v>404</v>
      </c>
      <c r="AB180">
        <f t="shared" si="23"/>
        <v>284</v>
      </c>
      <c r="AC180">
        <v>164</v>
      </c>
    </row>
    <row r="181" spans="1:29" x14ac:dyDescent="0.25">
      <c r="A181" t="s">
        <v>189</v>
      </c>
      <c r="B181">
        <v>1190</v>
      </c>
      <c r="C181">
        <v>1053</v>
      </c>
      <c r="D181">
        <v>867</v>
      </c>
      <c r="E181">
        <f t="shared" si="16"/>
        <v>742</v>
      </c>
      <c r="F181">
        <v>616</v>
      </c>
      <c r="G181">
        <f t="shared" si="17"/>
        <v>426</v>
      </c>
      <c r="H181">
        <v>235</v>
      </c>
      <c r="I181">
        <v>964</v>
      </c>
      <c r="J181">
        <v>841</v>
      </c>
      <c r="K181">
        <v>682</v>
      </c>
      <c r="L181">
        <f t="shared" si="18"/>
        <v>580</v>
      </c>
      <c r="M181">
        <v>477</v>
      </c>
      <c r="N181">
        <f t="shared" si="19"/>
        <v>328</v>
      </c>
      <c r="O181">
        <v>179</v>
      </c>
      <c r="P181">
        <v>892</v>
      </c>
      <c r="Q181">
        <v>806</v>
      </c>
      <c r="R181">
        <v>678</v>
      </c>
      <c r="S181">
        <f t="shared" si="20"/>
        <v>589</v>
      </c>
      <c r="T181">
        <v>500</v>
      </c>
      <c r="U181">
        <f t="shared" si="21"/>
        <v>353</v>
      </c>
      <c r="V181">
        <v>205</v>
      </c>
      <c r="W181">
        <v>723</v>
      </c>
      <c r="X181">
        <v>644</v>
      </c>
      <c r="Y181">
        <v>533</v>
      </c>
      <c r="Z181">
        <f t="shared" si="22"/>
        <v>460</v>
      </c>
      <c r="AA181">
        <v>387</v>
      </c>
      <c r="AB181">
        <f t="shared" si="23"/>
        <v>272</v>
      </c>
      <c r="AC181">
        <v>156</v>
      </c>
    </row>
    <row r="182" spans="1:29" x14ac:dyDescent="0.25">
      <c r="A182" t="s">
        <v>190</v>
      </c>
      <c r="B182">
        <v>1070</v>
      </c>
      <c r="C182">
        <v>943</v>
      </c>
      <c r="D182">
        <v>780</v>
      </c>
      <c r="E182">
        <f t="shared" si="16"/>
        <v>669</v>
      </c>
      <c r="F182">
        <v>557</v>
      </c>
      <c r="G182">
        <f t="shared" si="17"/>
        <v>384</v>
      </c>
      <c r="H182">
        <v>211</v>
      </c>
      <c r="I182">
        <v>920</v>
      </c>
      <c r="J182">
        <v>797</v>
      </c>
      <c r="K182">
        <v>647</v>
      </c>
      <c r="L182">
        <f t="shared" si="18"/>
        <v>550</v>
      </c>
      <c r="M182">
        <v>453</v>
      </c>
      <c r="N182">
        <f t="shared" si="19"/>
        <v>311</v>
      </c>
      <c r="O182">
        <v>169</v>
      </c>
      <c r="P182">
        <v>802</v>
      </c>
      <c r="Q182">
        <v>722</v>
      </c>
      <c r="R182">
        <v>611</v>
      </c>
      <c r="S182">
        <f t="shared" si="20"/>
        <v>532</v>
      </c>
      <c r="T182">
        <v>452</v>
      </c>
      <c r="U182">
        <f t="shared" si="21"/>
        <v>318</v>
      </c>
      <c r="V182">
        <v>184</v>
      </c>
      <c r="W182">
        <v>690</v>
      </c>
      <c r="X182">
        <v>610</v>
      </c>
      <c r="Y182">
        <v>507</v>
      </c>
      <c r="Z182">
        <f t="shared" si="22"/>
        <v>438</v>
      </c>
      <c r="AA182">
        <v>368</v>
      </c>
      <c r="AB182">
        <f t="shared" si="23"/>
        <v>258</v>
      </c>
      <c r="AC182">
        <v>147</v>
      </c>
    </row>
    <row r="183" spans="1:29" x14ac:dyDescent="0.25">
      <c r="A183" t="s">
        <v>191</v>
      </c>
      <c r="B183">
        <v>927</v>
      </c>
      <c r="C183">
        <v>824</v>
      </c>
      <c r="D183">
        <v>685</v>
      </c>
      <c r="E183">
        <f t="shared" si="16"/>
        <v>588</v>
      </c>
      <c r="F183">
        <v>491</v>
      </c>
      <c r="G183">
        <f t="shared" si="17"/>
        <v>339</v>
      </c>
      <c r="H183">
        <v>186</v>
      </c>
      <c r="I183">
        <v>864</v>
      </c>
      <c r="J183">
        <v>752</v>
      </c>
      <c r="K183">
        <v>611</v>
      </c>
      <c r="L183">
        <f t="shared" si="18"/>
        <v>519</v>
      </c>
      <c r="M183">
        <v>427</v>
      </c>
      <c r="N183">
        <f t="shared" si="19"/>
        <v>293</v>
      </c>
      <c r="O183">
        <v>159</v>
      </c>
      <c r="P183">
        <v>695</v>
      </c>
      <c r="Q183">
        <v>630</v>
      </c>
      <c r="R183">
        <v>536</v>
      </c>
      <c r="S183">
        <f t="shared" si="20"/>
        <v>468</v>
      </c>
      <c r="T183">
        <v>399</v>
      </c>
      <c r="U183">
        <f t="shared" si="21"/>
        <v>281</v>
      </c>
      <c r="V183">
        <v>162</v>
      </c>
      <c r="W183">
        <v>648</v>
      </c>
      <c r="X183">
        <v>575</v>
      </c>
      <c r="Y183">
        <v>478</v>
      </c>
      <c r="Z183">
        <f t="shared" si="22"/>
        <v>413</v>
      </c>
      <c r="AA183">
        <v>347</v>
      </c>
      <c r="AB183">
        <f t="shared" si="23"/>
        <v>243</v>
      </c>
      <c r="AC183">
        <v>139</v>
      </c>
    </row>
    <row r="184" spans="1:29" x14ac:dyDescent="0.25">
      <c r="A184" t="s">
        <v>192</v>
      </c>
      <c r="B184">
        <v>839</v>
      </c>
      <c r="C184">
        <v>745</v>
      </c>
      <c r="D184">
        <v>601</v>
      </c>
      <c r="E184">
        <f t="shared" si="16"/>
        <v>512</v>
      </c>
      <c r="F184">
        <v>422</v>
      </c>
      <c r="G184">
        <f t="shared" si="17"/>
        <v>289</v>
      </c>
      <c r="H184">
        <v>156</v>
      </c>
      <c r="I184">
        <v>839</v>
      </c>
      <c r="J184">
        <v>745</v>
      </c>
      <c r="K184">
        <v>601</v>
      </c>
      <c r="L184">
        <f t="shared" si="18"/>
        <v>512</v>
      </c>
      <c r="M184">
        <v>422</v>
      </c>
      <c r="N184">
        <f t="shared" si="19"/>
        <v>289</v>
      </c>
      <c r="O184">
        <v>156</v>
      </c>
      <c r="P184">
        <v>629</v>
      </c>
      <c r="Q184">
        <v>570</v>
      </c>
      <c r="R184">
        <v>471</v>
      </c>
      <c r="S184">
        <f t="shared" si="20"/>
        <v>407</v>
      </c>
      <c r="T184">
        <v>343</v>
      </c>
      <c r="U184">
        <f t="shared" si="21"/>
        <v>240</v>
      </c>
      <c r="V184">
        <v>136</v>
      </c>
      <c r="W184">
        <v>629</v>
      </c>
      <c r="X184">
        <v>570</v>
      </c>
      <c r="Y184">
        <v>471</v>
      </c>
      <c r="Z184">
        <f t="shared" si="22"/>
        <v>407</v>
      </c>
      <c r="AA184">
        <v>343</v>
      </c>
      <c r="AB184">
        <f t="shared" si="23"/>
        <v>240</v>
      </c>
      <c r="AC184">
        <v>136</v>
      </c>
    </row>
    <row r="185" spans="1:29" x14ac:dyDescent="0.25">
      <c r="A185" t="s">
        <v>193</v>
      </c>
      <c r="B185">
        <v>1428</v>
      </c>
      <c r="C185">
        <v>1249</v>
      </c>
      <c r="D185">
        <v>1014</v>
      </c>
      <c r="E185">
        <f t="shared" si="16"/>
        <v>864</v>
      </c>
      <c r="F185">
        <v>713</v>
      </c>
      <c r="G185">
        <f t="shared" si="17"/>
        <v>493</v>
      </c>
      <c r="H185">
        <v>273</v>
      </c>
      <c r="I185">
        <v>1066</v>
      </c>
      <c r="J185">
        <v>924</v>
      </c>
      <c r="K185">
        <v>743</v>
      </c>
      <c r="L185">
        <f t="shared" si="18"/>
        <v>631</v>
      </c>
      <c r="M185">
        <v>518</v>
      </c>
      <c r="N185">
        <f t="shared" si="19"/>
        <v>357</v>
      </c>
      <c r="O185">
        <v>196</v>
      </c>
      <c r="P185">
        <v>1070</v>
      </c>
      <c r="Q185">
        <v>956</v>
      </c>
      <c r="R185">
        <v>793</v>
      </c>
      <c r="S185">
        <f t="shared" si="20"/>
        <v>686</v>
      </c>
      <c r="T185">
        <v>579</v>
      </c>
      <c r="U185">
        <f t="shared" si="21"/>
        <v>409</v>
      </c>
      <c r="V185">
        <v>238</v>
      </c>
      <c r="W185">
        <v>799</v>
      </c>
      <c r="X185">
        <v>707</v>
      </c>
      <c r="Y185">
        <v>581</v>
      </c>
      <c r="Z185">
        <f t="shared" si="22"/>
        <v>501</v>
      </c>
      <c r="AA185">
        <v>420</v>
      </c>
      <c r="AB185">
        <f t="shared" si="23"/>
        <v>296</v>
      </c>
      <c r="AC185">
        <v>171</v>
      </c>
    </row>
    <row r="186" spans="1:29" x14ac:dyDescent="0.25">
      <c r="A186" t="s">
        <v>194</v>
      </c>
      <c r="B186">
        <v>1308</v>
      </c>
      <c r="C186">
        <v>1150</v>
      </c>
      <c r="D186">
        <v>938</v>
      </c>
      <c r="E186">
        <f t="shared" si="16"/>
        <v>801</v>
      </c>
      <c r="F186">
        <v>663</v>
      </c>
      <c r="G186">
        <f t="shared" si="17"/>
        <v>458</v>
      </c>
      <c r="H186">
        <v>253</v>
      </c>
      <c r="I186">
        <v>1014</v>
      </c>
      <c r="J186">
        <v>882</v>
      </c>
      <c r="K186">
        <v>710</v>
      </c>
      <c r="L186">
        <f t="shared" si="18"/>
        <v>603</v>
      </c>
      <c r="M186">
        <v>496</v>
      </c>
      <c r="N186">
        <f t="shared" si="19"/>
        <v>342</v>
      </c>
      <c r="O186">
        <v>187</v>
      </c>
      <c r="P186">
        <v>980</v>
      </c>
      <c r="Q186">
        <v>880</v>
      </c>
      <c r="R186">
        <v>735</v>
      </c>
      <c r="S186">
        <f t="shared" si="20"/>
        <v>637</v>
      </c>
      <c r="T186">
        <v>539</v>
      </c>
      <c r="U186">
        <f t="shared" si="21"/>
        <v>380</v>
      </c>
      <c r="V186">
        <v>220</v>
      </c>
      <c r="W186">
        <v>760</v>
      </c>
      <c r="X186">
        <v>675</v>
      </c>
      <c r="Y186">
        <v>557</v>
      </c>
      <c r="Z186">
        <f t="shared" si="22"/>
        <v>480</v>
      </c>
      <c r="AA186">
        <v>403</v>
      </c>
      <c r="AB186">
        <f t="shared" si="23"/>
        <v>283</v>
      </c>
      <c r="AC186">
        <v>163</v>
      </c>
    </row>
    <row r="187" spans="1:29" x14ac:dyDescent="0.25">
      <c r="A187" t="s">
        <v>195</v>
      </c>
      <c r="B187">
        <v>1185</v>
      </c>
      <c r="C187">
        <v>1047</v>
      </c>
      <c r="D187">
        <v>860</v>
      </c>
      <c r="E187">
        <f t="shared" si="16"/>
        <v>735</v>
      </c>
      <c r="F187">
        <v>610</v>
      </c>
      <c r="G187">
        <f t="shared" si="17"/>
        <v>421</v>
      </c>
      <c r="H187">
        <v>232</v>
      </c>
      <c r="I187">
        <v>963</v>
      </c>
      <c r="J187">
        <v>839</v>
      </c>
      <c r="K187">
        <v>678</v>
      </c>
      <c r="L187">
        <f t="shared" si="18"/>
        <v>576</v>
      </c>
      <c r="M187">
        <v>473</v>
      </c>
      <c r="N187">
        <f t="shared" si="19"/>
        <v>325</v>
      </c>
      <c r="O187">
        <v>177</v>
      </c>
      <c r="P187">
        <v>888</v>
      </c>
      <c r="Q187">
        <v>801</v>
      </c>
      <c r="R187">
        <v>673</v>
      </c>
      <c r="S187">
        <f t="shared" si="20"/>
        <v>585</v>
      </c>
      <c r="T187">
        <v>496</v>
      </c>
      <c r="U187">
        <f t="shared" si="21"/>
        <v>349</v>
      </c>
      <c r="V187">
        <v>202</v>
      </c>
      <c r="W187">
        <v>722</v>
      </c>
      <c r="X187">
        <v>641</v>
      </c>
      <c r="Y187">
        <v>530</v>
      </c>
      <c r="Z187">
        <f t="shared" si="22"/>
        <v>458</v>
      </c>
      <c r="AA187">
        <v>385</v>
      </c>
      <c r="AB187">
        <f t="shared" si="23"/>
        <v>270</v>
      </c>
      <c r="AC187">
        <v>154</v>
      </c>
    </row>
    <row r="188" spans="1:29" x14ac:dyDescent="0.25">
      <c r="A188" t="s">
        <v>196</v>
      </c>
      <c r="B188">
        <v>1068</v>
      </c>
      <c r="C188">
        <v>940</v>
      </c>
      <c r="D188">
        <v>776</v>
      </c>
      <c r="E188">
        <f t="shared" si="16"/>
        <v>665</v>
      </c>
      <c r="F188">
        <v>554</v>
      </c>
      <c r="G188">
        <f t="shared" si="17"/>
        <v>383</v>
      </c>
      <c r="H188">
        <v>211</v>
      </c>
      <c r="I188">
        <v>920</v>
      </c>
      <c r="J188">
        <v>796</v>
      </c>
      <c r="K188">
        <v>646</v>
      </c>
      <c r="L188">
        <f t="shared" si="18"/>
        <v>549</v>
      </c>
      <c r="M188">
        <v>451</v>
      </c>
      <c r="N188">
        <f t="shared" si="19"/>
        <v>310</v>
      </c>
      <c r="O188">
        <v>168</v>
      </c>
      <c r="P188">
        <v>800</v>
      </c>
      <c r="Q188">
        <v>719</v>
      </c>
      <c r="R188">
        <v>608</v>
      </c>
      <c r="S188">
        <f t="shared" si="20"/>
        <v>529</v>
      </c>
      <c r="T188">
        <v>450</v>
      </c>
      <c r="U188">
        <f t="shared" si="21"/>
        <v>317</v>
      </c>
      <c r="V188">
        <v>183</v>
      </c>
      <c r="W188">
        <v>689</v>
      </c>
      <c r="X188">
        <v>609</v>
      </c>
      <c r="Y188">
        <v>506</v>
      </c>
      <c r="Z188">
        <f t="shared" si="22"/>
        <v>437</v>
      </c>
      <c r="AA188">
        <v>367</v>
      </c>
      <c r="AB188">
        <f t="shared" si="23"/>
        <v>257</v>
      </c>
      <c r="AC188">
        <v>146</v>
      </c>
    </row>
    <row r="189" spans="1:29" x14ac:dyDescent="0.25">
      <c r="A189" t="s">
        <v>197</v>
      </c>
      <c r="B189">
        <v>925</v>
      </c>
      <c r="C189">
        <v>822</v>
      </c>
      <c r="D189">
        <v>683</v>
      </c>
      <c r="E189">
        <f t="shared" si="16"/>
        <v>586</v>
      </c>
      <c r="F189">
        <v>489</v>
      </c>
      <c r="G189">
        <f t="shared" si="17"/>
        <v>338</v>
      </c>
      <c r="H189">
        <v>186</v>
      </c>
      <c r="I189">
        <v>864</v>
      </c>
      <c r="J189">
        <v>751</v>
      </c>
      <c r="K189">
        <v>610</v>
      </c>
      <c r="L189">
        <f t="shared" si="18"/>
        <v>519</v>
      </c>
      <c r="M189">
        <v>428</v>
      </c>
      <c r="N189">
        <f t="shared" si="19"/>
        <v>294</v>
      </c>
      <c r="O189">
        <v>159</v>
      </c>
      <c r="P189">
        <v>694</v>
      </c>
      <c r="Q189">
        <v>629</v>
      </c>
      <c r="R189">
        <v>534</v>
      </c>
      <c r="S189">
        <f t="shared" si="20"/>
        <v>466</v>
      </c>
      <c r="T189">
        <v>397</v>
      </c>
      <c r="U189">
        <f t="shared" si="21"/>
        <v>280</v>
      </c>
      <c r="V189">
        <v>162</v>
      </c>
      <c r="W189">
        <v>648</v>
      </c>
      <c r="X189">
        <v>575</v>
      </c>
      <c r="Y189">
        <v>477</v>
      </c>
      <c r="Z189">
        <f t="shared" si="22"/>
        <v>412</v>
      </c>
      <c r="AA189">
        <v>347</v>
      </c>
      <c r="AB189">
        <f t="shared" si="23"/>
        <v>243</v>
      </c>
      <c r="AC189">
        <v>139</v>
      </c>
    </row>
    <row r="190" spans="1:29" x14ac:dyDescent="0.25">
      <c r="A190" t="s">
        <v>198</v>
      </c>
      <c r="B190">
        <v>833</v>
      </c>
      <c r="C190">
        <v>741</v>
      </c>
      <c r="D190">
        <v>597</v>
      </c>
      <c r="E190">
        <f t="shared" si="16"/>
        <v>508</v>
      </c>
      <c r="F190">
        <v>419</v>
      </c>
      <c r="G190">
        <f t="shared" si="17"/>
        <v>288</v>
      </c>
      <c r="H190">
        <v>156</v>
      </c>
      <c r="I190">
        <v>833</v>
      </c>
      <c r="J190">
        <v>741</v>
      </c>
      <c r="K190">
        <v>597</v>
      </c>
      <c r="L190">
        <f t="shared" si="18"/>
        <v>508</v>
      </c>
      <c r="M190">
        <v>419</v>
      </c>
      <c r="N190">
        <f t="shared" si="19"/>
        <v>288</v>
      </c>
      <c r="O190">
        <v>156</v>
      </c>
      <c r="P190">
        <v>625</v>
      </c>
      <c r="Q190">
        <v>567</v>
      </c>
      <c r="R190">
        <v>468</v>
      </c>
      <c r="S190">
        <f t="shared" si="20"/>
        <v>404</v>
      </c>
      <c r="T190">
        <v>340</v>
      </c>
      <c r="U190">
        <f t="shared" si="21"/>
        <v>238</v>
      </c>
      <c r="V190">
        <v>136</v>
      </c>
      <c r="W190">
        <v>625</v>
      </c>
      <c r="X190">
        <v>567</v>
      </c>
      <c r="Y190">
        <v>468</v>
      </c>
      <c r="Z190">
        <f t="shared" si="22"/>
        <v>404</v>
      </c>
      <c r="AA190">
        <v>340</v>
      </c>
      <c r="AB190">
        <f t="shared" si="23"/>
        <v>238</v>
      </c>
      <c r="AC190">
        <v>136</v>
      </c>
    </row>
    <row r="191" spans="1:29" x14ac:dyDescent="0.25">
      <c r="A191" t="s">
        <v>199</v>
      </c>
      <c r="B191">
        <v>778</v>
      </c>
      <c r="C191">
        <v>694</v>
      </c>
      <c r="D191">
        <v>564</v>
      </c>
      <c r="E191">
        <f t="shared" si="16"/>
        <v>480</v>
      </c>
      <c r="F191">
        <v>396</v>
      </c>
      <c r="G191">
        <f t="shared" si="17"/>
        <v>272</v>
      </c>
      <c r="H191">
        <v>147</v>
      </c>
      <c r="I191">
        <v>778</v>
      </c>
      <c r="J191">
        <v>694</v>
      </c>
      <c r="K191">
        <v>564</v>
      </c>
      <c r="L191">
        <f t="shared" si="18"/>
        <v>480</v>
      </c>
      <c r="M191">
        <v>396</v>
      </c>
      <c r="N191">
        <f t="shared" si="19"/>
        <v>272</v>
      </c>
      <c r="O191">
        <v>147</v>
      </c>
      <c r="P191">
        <v>583</v>
      </c>
      <c r="Q191">
        <v>531</v>
      </c>
      <c r="R191">
        <v>441</v>
      </c>
      <c r="S191">
        <f t="shared" si="20"/>
        <v>382</v>
      </c>
      <c r="T191">
        <v>322</v>
      </c>
      <c r="U191">
        <f t="shared" si="21"/>
        <v>225</v>
      </c>
      <c r="V191">
        <v>128</v>
      </c>
      <c r="W191">
        <v>583</v>
      </c>
      <c r="X191">
        <v>531</v>
      </c>
      <c r="Y191">
        <v>441</v>
      </c>
      <c r="Z191">
        <f t="shared" si="22"/>
        <v>382</v>
      </c>
      <c r="AA191">
        <v>322</v>
      </c>
      <c r="AB191">
        <f t="shared" si="23"/>
        <v>225</v>
      </c>
      <c r="AC191">
        <v>128</v>
      </c>
    </row>
    <row r="192" spans="1:29" x14ac:dyDescent="0.25">
      <c r="A192" t="s">
        <v>200</v>
      </c>
      <c r="B192">
        <v>1305</v>
      </c>
      <c r="C192">
        <v>1146</v>
      </c>
      <c r="D192">
        <v>932</v>
      </c>
      <c r="E192">
        <f t="shared" si="16"/>
        <v>795</v>
      </c>
      <c r="F192">
        <v>657</v>
      </c>
      <c r="G192">
        <f t="shared" si="17"/>
        <v>454</v>
      </c>
      <c r="H192">
        <v>250</v>
      </c>
      <c r="I192">
        <v>1013</v>
      </c>
      <c r="J192">
        <v>880</v>
      </c>
      <c r="K192">
        <v>708</v>
      </c>
      <c r="L192">
        <f t="shared" si="18"/>
        <v>601</v>
      </c>
      <c r="M192">
        <v>494</v>
      </c>
      <c r="N192">
        <f t="shared" si="19"/>
        <v>340</v>
      </c>
      <c r="O192">
        <v>186</v>
      </c>
      <c r="P192">
        <v>978</v>
      </c>
      <c r="Q192">
        <v>876</v>
      </c>
      <c r="R192">
        <v>730</v>
      </c>
      <c r="S192">
        <f t="shared" si="20"/>
        <v>632</v>
      </c>
      <c r="T192">
        <v>534</v>
      </c>
      <c r="U192">
        <f t="shared" si="21"/>
        <v>376</v>
      </c>
      <c r="V192">
        <v>217</v>
      </c>
      <c r="W192">
        <v>760</v>
      </c>
      <c r="X192">
        <v>673</v>
      </c>
      <c r="Y192">
        <v>555</v>
      </c>
      <c r="Z192">
        <f t="shared" si="22"/>
        <v>479</v>
      </c>
      <c r="AA192">
        <v>402</v>
      </c>
      <c r="AB192">
        <f t="shared" si="23"/>
        <v>282</v>
      </c>
      <c r="AC192">
        <v>161</v>
      </c>
    </row>
    <row r="193" spans="1:29" x14ac:dyDescent="0.25">
      <c r="A193" t="s">
        <v>201</v>
      </c>
      <c r="B193">
        <v>1181</v>
      </c>
      <c r="C193">
        <v>1042</v>
      </c>
      <c r="D193">
        <v>853</v>
      </c>
      <c r="E193">
        <f t="shared" si="16"/>
        <v>729</v>
      </c>
      <c r="F193">
        <v>604</v>
      </c>
      <c r="G193">
        <f t="shared" si="17"/>
        <v>417</v>
      </c>
      <c r="H193">
        <v>229</v>
      </c>
      <c r="I193">
        <v>962</v>
      </c>
      <c r="J193">
        <v>838</v>
      </c>
      <c r="K193">
        <v>677</v>
      </c>
      <c r="L193">
        <f t="shared" si="18"/>
        <v>574</v>
      </c>
      <c r="M193">
        <v>471</v>
      </c>
      <c r="N193">
        <f t="shared" si="19"/>
        <v>324</v>
      </c>
      <c r="O193">
        <v>176</v>
      </c>
      <c r="P193">
        <v>885</v>
      </c>
      <c r="Q193">
        <v>797</v>
      </c>
      <c r="R193">
        <v>668</v>
      </c>
      <c r="S193">
        <f t="shared" si="20"/>
        <v>580</v>
      </c>
      <c r="T193">
        <v>491</v>
      </c>
      <c r="U193">
        <f t="shared" si="21"/>
        <v>345</v>
      </c>
      <c r="V193">
        <v>199</v>
      </c>
      <c r="W193">
        <v>721</v>
      </c>
      <c r="X193">
        <v>641</v>
      </c>
      <c r="Y193">
        <v>530</v>
      </c>
      <c r="Z193">
        <f t="shared" si="22"/>
        <v>457</v>
      </c>
      <c r="AA193">
        <v>383</v>
      </c>
      <c r="AB193">
        <f t="shared" si="23"/>
        <v>268</v>
      </c>
      <c r="AC193">
        <v>153</v>
      </c>
    </row>
    <row r="194" spans="1:29" x14ac:dyDescent="0.25">
      <c r="A194" t="s">
        <v>202</v>
      </c>
      <c r="B194">
        <v>1061</v>
      </c>
      <c r="C194">
        <v>933</v>
      </c>
      <c r="D194">
        <v>771</v>
      </c>
      <c r="E194">
        <f t="shared" si="16"/>
        <v>660</v>
      </c>
      <c r="F194">
        <v>548</v>
      </c>
      <c r="G194">
        <f t="shared" si="17"/>
        <v>378</v>
      </c>
      <c r="H194">
        <v>208</v>
      </c>
      <c r="I194">
        <v>917</v>
      </c>
      <c r="J194">
        <v>794</v>
      </c>
      <c r="K194">
        <v>643</v>
      </c>
      <c r="L194">
        <f t="shared" si="18"/>
        <v>547</v>
      </c>
      <c r="M194">
        <v>450</v>
      </c>
      <c r="N194">
        <f t="shared" si="19"/>
        <v>309</v>
      </c>
      <c r="O194">
        <v>167</v>
      </c>
      <c r="P194">
        <v>795</v>
      </c>
      <c r="Q194">
        <v>714</v>
      </c>
      <c r="R194">
        <v>603</v>
      </c>
      <c r="S194">
        <f t="shared" si="20"/>
        <v>524</v>
      </c>
      <c r="T194">
        <v>445</v>
      </c>
      <c r="U194">
        <f t="shared" si="21"/>
        <v>313</v>
      </c>
      <c r="V194">
        <v>181</v>
      </c>
      <c r="W194">
        <v>687</v>
      </c>
      <c r="X194">
        <v>608</v>
      </c>
      <c r="Y194">
        <v>503</v>
      </c>
      <c r="Z194">
        <f t="shared" si="22"/>
        <v>435</v>
      </c>
      <c r="AA194">
        <v>366</v>
      </c>
      <c r="AB194">
        <f t="shared" si="23"/>
        <v>256</v>
      </c>
      <c r="AC194">
        <v>146</v>
      </c>
    </row>
    <row r="195" spans="1:29" x14ac:dyDescent="0.25">
      <c r="A195" t="s">
        <v>203</v>
      </c>
      <c r="B195">
        <v>922</v>
      </c>
      <c r="C195">
        <v>818</v>
      </c>
      <c r="D195">
        <v>679</v>
      </c>
      <c r="E195">
        <f t="shared" si="16"/>
        <v>583</v>
      </c>
      <c r="F195">
        <v>486</v>
      </c>
      <c r="G195">
        <f t="shared" si="17"/>
        <v>335</v>
      </c>
      <c r="H195">
        <v>184</v>
      </c>
      <c r="I195">
        <v>863</v>
      </c>
      <c r="J195">
        <v>750</v>
      </c>
      <c r="K195">
        <v>610</v>
      </c>
      <c r="L195">
        <f t="shared" si="18"/>
        <v>518</v>
      </c>
      <c r="M195">
        <v>426</v>
      </c>
      <c r="N195">
        <f t="shared" si="19"/>
        <v>292</v>
      </c>
      <c r="O195">
        <v>157</v>
      </c>
      <c r="P195">
        <v>691</v>
      </c>
      <c r="Q195">
        <v>626</v>
      </c>
      <c r="R195">
        <v>532</v>
      </c>
      <c r="S195">
        <f t="shared" si="20"/>
        <v>464</v>
      </c>
      <c r="T195">
        <v>395</v>
      </c>
      <c r="U195">
        <f t="shared" si="21"/>
        <v>278</v>
      </c>
      <c r="V195">
        <v>160</v>
      </c>
      <c r="W195">
        <v>647</v>
      </c>
      <c r="X195">
        <v>574</v>
      </c>
      <c r="Y195">
        <v>478</v>
      </c>
      <c r="Z195">
        <f t="shared" si="22"/>
        <v>412</v>
      </c>
      <c r="AA195">
        <v>346</v>
      </c>
      <c r="AB195">
        <f t="shared" si="23"/>
        <v>242</v>
      </c>
      <c r="AC195">
        <v>137</v>
      </c>
    </row>
    <row r="196" spans="1:29" x14ac:dyDescent="0.25">
      <c r="A196" t="s">
        <v>204</v>
      </c>
      <c r="B196">
        <v>828</v>
      </c>
      <c r="C196">
        <v>735</v>
      </c>
      <c r="D196">
        <v>592</v>
      </c>
      <c r="E196">
        <f t="shared" ref="E196:E259" si="24">ROUND((D196+F196)/2,0)</f>
        <v>504</v>
      </c>
      <c r="F196">
        <v>415</v>
      </c>
      <c r="G196">
        <f t="shared" ref="G196:G259" si="25">ROUND((F196+H196)/2,0)</f>
        <v>285</v>
      </c>
      <c r="H196">
        <v>154</v>
      </c>
      <c r="I196">
        <v>828</v>
      </c>
      <c r="J196">
        <v>735</v>
      </c>
      <c r="K196">
        <v>592</v>
      </c>
      <c r="L196">
        <f t="shared" ref="L196:L259" si="26">ROUND((K196+M196)/2,0)</f>
        <v>504</v>
      </c>
      <c r="M196">
        <v>415</v>
      </c>
      <c r="N196">
        <f t="shared" ref="N196:N259" si="27">ROUND((M196+O196)/2,0)</f>
        <v>285</v>
      </c>
      <c r="O196">
        <v>154</v>
      </c>
      <c r="P196">
        <v>621</v>
      </c>
      <c r="Q196">
        <v>562</v>
      </c>
      <c r="R196">
        <v>464</v>
      </c>
      <c r="S196">
        <f t="shared" ref="S196:S259" si="28">ROUND((R196+T196)/2,0)</f>
        <v>401</v>
      </c>
      <c r="T196">
        <v>337</v>
      </c>
      <c r="U196">
        <f t="shared" ref="U196:U259" si="29">ROUND((T196+V196)/2,0)</f>
        <v>236</v>
      </c>
      <c r="V196">
        <v>134</v>
      </c>
      <c r="W196">
        <v>621</v>
      </c>
      <c r="X196">
        <v>562</v>
      </c>
      <c r="Y196">
        <v>464</v>
      </c>
      <c r="Z196">
        <f t="shared" ref="Z196:Z259" si="30">ROUND((Y196+AA196)/2,0)</f>
        <v>401</v>
      </c>
      <c r="AA196">
        <v>337</v>
      </c>
      <c r="AB196">
        <f t="shared" ref="AB196:AB259" si="31">ROUND((AA196+AC196)/2,0)</f>
        <v>236</v>
      </c>
      <c r="AC196">
        <v>134</v>
      </c>
    </row>
    <row r="197" spans="1:29" x14ac:dyDescent="0.25">
      <c r="A197" t="s">
        <v>205</v>
      </c>
      <c r="B197">
        <v>774</v>
      </c>
      <c r="C197">
        <v>690</v>
      </c>
      <c r="D197">
        <v>559</v>
      </c>
      <c r="E197">
        <f t="shared" si="24"/>
        <v>477</v>
      </c>
      <c r="F197">
        <v>394</v>
      </c>
      <c r="G197">
        <f t="shared" si="25"/>
        <v>271</v>
      </c>
      <c r="H197">
        <v>147</v>
      </c>
      <c r="I197">
        <v>774</v>
      </c>
      <c r="J197">
        <v>690</v>
      </c>
      <c r="K197">
        <v>559</v>
      </c>
      <c r="L197">
        <f t="shared" si="26"/>
        <v>477</v>
      </c>
      <c r="M197">
        <v>394</v>
      </c>
      <c r="N197">
        <f t="shared" si="27"/>
        <v>271</v>
      </c>
      <c r="O197">
        <v>147</v>
      </c>
      <c r="P197">
        <v>580</v>
      </c>
      <c r="Q197">
        <v>528</v>
      </c>
      <c r="R197">
        <v>437</v>
      </c>
      <c r="S197">
        <f t="shared" si="28"/>
        <v>379</v>
      </c>
      <c r="T197">
        <v>320</v>
      </c>
      <c r="U197">
        <f t="shared" si="29"/>
        <v>224</v>
      </c>
      <c r="V197">
        <v>128</v>
      </c>
      <c r="W197">
        <v>580</v>
      </c>
      <c r="X197">
        <v>528</v>
      </c>
      <c r="Y197">
        <v>437</v>
      </c>
      <c r="Z197">
        <f t="shared" si="30"/>
        <v>379</v>
      </c>
      <c r="AA197">
        <v>320</v>
      </c>
      <c r="AB197">
        <f t="shared" si="31"/>
        <v>224</v>
      </c>
      <c r="AC197">
        <v>128</v>
      </c>
    </row>
    <row r="198" spans="1:29" x14ac:dyDescent="0.25">
      <c r="A198" t="s">
        <v>206</v>
      </c>
      <c r="B198">
        <v>715</v>
      </c>
      <c r="C198">
        <v>641</v>
      </c>
      <c r="D198">
        <v>527</v>
      </c>
      <c r="E198">
        <f t="shared" si="24"/>
        <v>451</v>
      </c>
      <c r="F198">
        <v>374</v>
      </c>
      <c r="G198">
        <f t="shared" si="25"/>
        <v>255</v>
      </c>
      <c r="H198">
        <v>136</v>
      </c>
      <c r="I198">
        <v>715</v>
      </c>
      <c r="J198">
        <v>641</v>
      </c>
      <c r="K198">
        <v>527</v>
      </c>
      <c r="L198">
        <f t="shared" si="26"/>
        <v>451</v>
      </c>
      <c r="M198">
        <v>374</v>
      </c>
      <c r="N198">
        <f t="shared" si="27"/>
        <v>255</v>
      </c>
      <c r="O198">
        <v>136</v>
      </c>
      <c r="P198">
        <v>536</v>
      </c>
      <c r="Q198">
        <v>490</v>
      </c>
      <c r="R198">
        <v>413</v>
      </c>
      <c r="S198">
        <f t="shared" si="28"/>
        <v>359</v>
      </c>
      <c r="T198">
        <v>304</v>
      </c>
      <c r="U198">
        <f t="shared" si="29"/>
        <v>211</v>
      </c>
      <c r="V198">
        <v>118</v>
      </c>
      <c r="W198">
        <v>536</v>
      </c>
      <c r="X198">
        <v>490</v>
      </c>
      <c r="Y198">
        <v>413</v>
      </c>
      <c r="Z198">
        <f t="shared" si="30"/>
        <v>359</v>
      </c>
      <c r="AA198">
        <v>304</v>
      </c>
      <c r="AB198">
        <f t="shared" si="31"/>
        <v>211</v>
      </c>
      <c r="AC198">
        <v>118</v>
      </c>
    </row>
    <row r="199" spans="1:29" x14ac:dyDescent="0.25">
      <c r="A199" t="s">
        <v>207</v>
      </c>
      <c r="B199">
        <v>1177</v>
      </c>
      <c r="C199">
        <v>1036</v>
      </c>
      <c r="D199">
        <v>846</v>
      </c>
      <c r="E199">
        <f t="shared" si="24"/>
        <v>722</v>
      </c>
      <c r="F199">
        <v>598</v>
      </c>
      <c r="G199">
        <f t="shared" si="25"/>
        <v>412</v>
      </c>
      <c r="H199">
        <v>226</v>
      </c>
      <c r="I199">
        <v>960</v>
      </c>
      <c r="J199">
        <v>834</v>
      </c>
      <c r="K199">
        <v>673</v>
      </c>
      <c r="L199">
        <f t="shared" si="26"/>
        <v>571</v>
      </c>
      <c r="M199">
        <v>469</v>
      </c>
      <c r="N199">
        <f t="shared" si="27"/>
        <v>322</v>
      </c>
      <c r="O199">
        <v>175</v>
      </c>
      <c r="P199">
        <v>882</v>
      </c>
      <c r="Q199">
        <v>793</v>
      </c>
      <c r="R199">
        <v>662</v>
      </c>
      <c r="S199">
        <f t="shared" si="28"/>
        <v>574</v>
      </c>
      <c r="T199">
        <v>486</v>
      </c>
      <c r="U199">
        <f t="shared" si="29"/>
        <v>341</v>
      </c>
      <c r="V199">
        <v>196</v>
      </c>
      <c r="W199">
        <v>719</v>
      </c>
      <c r="X199">
        <v>639</v>
      </c>
      <c r="Y199">
        <v>527</v>
      </c>
      <c r="Z199">
        <f t="shared" si="30"/>
        <v>454</v>
      </c>
      <c r="AA199">
        <v>381</v>
      </c>
      <c r="AB199">
        <f t="shared" si="31"/>
        <v>267</v>
      </c>
      <c r="AC199">
        <v>152</v>
      </c>
    </row>
    <row r="200" spans="1:29" x14ac:dyDescent="0.25">
      <c r="A200" t="s">
        <v>208</v>
      </c>
      <c r="B200">
        <v>1055</v>
      </c>
      <c r="C200">
        <v>926</v>
      </c>
      <c r="D200">
        <v>763</v>
      </c>
      <c r="E200">
        <f t="shared" si="24"/>
        <v>653</v>
      </c>
      <c r="F200">
        <v>542</v>
      </c>
      <c r="G200">
        <f t="shared" si="25"/>
        <v>374</v>
      </c>
      <c r="H200">
        <v>205</v>
      </c>
      <c r="I200">
        <v>915</v>
      </c>
      <c r="J200">
        <v>792</v>
      </c>
      <c r="K200">
        <v>640</v>
      </c>
      <c r="L200">
        <f t="shared" si="26"/>
        <v>544</v>
      </c>
      <c r="M200">
        <v>448</v>
      </c>
      <c r="N200">
        <f t="shared" si="27"/>
        <v>307</v>
      </c>
      <c r="O200">
        <v>166</v>
      </c>
      <c r="P200">
        <v>791</v>
      </c>
      <c r="Q200">
        <v>709</v>
      </c>
      <c r="R200">
        <v>597</v>
      </c>
      <c r="S200">
        <f t="shared" si="28"/>
        <v>519</v>
      </c>
      <c r="T200">
        <v>440</v>
      </c>
      <c r="U200">
        <f t="shared" si="29"/>
        <v>309</v>
      </c>
      <c r="V200">
        <v>178</v>
      </c>
      <c r="W200">
        <v>686</v>
      </c>
      <c r="X200">
        <v>606</v>
      </c>
      <c r="Y200">
        <v>501</v>
      </c>
      <c r="Z200">
        <f t="shared" si="30"/>
        <v>433</v>
      </c>
      <c r="AA200">
        <v>364</v>
      </c>
      <c r="AB200">
        <f t="shared" si="31"/>
        <v>254</v>
      </c>
      <c r="AC200">
        <v>144</v>
      </c>
    </row>
    <row r="201" spans="1:29" x14ac:dyDescent="0.25">
      <c r="A201" t="s">
        <v>209</v>
      </c>
      <c r="B201">
        <v>919</v>
      </c>
      <c r="C201">
        <v>814</v>
      </c>
      <c r="D201">
        <v>674</v>
      </c>
      <c r="E201">
        <f t="shared" si="24"/>
        <v>579</v>
      </c>
      <c r="F201">
        <v>483</v>
      </c>
      <c r="G201">
        <f t="shared" si="25"/>
        <v>333</v>
      </c>
      <c r="H201">
        <v>182</v>
      </c>
      <c r="I201">
        <v>862</v>
      </c>
      <c r="J201">
        <v>748</v>
      </c>
      <c r="K201">
        <v>607</v>
      </c>
      <c r="L201">
        <f t="shared" si="26"/>
        <v>516</v>
      </c>
      <c r="M201">
        <v>425</v>
      </c>
      <c r="N201">
        <f t="shared" si="27"/>
        <v>291</v>
      </c>
      <c r="O201">
        <v>157</v>
      </c>
      <c r="P201">
        <v>689</v>
      </c>
      <c r="Q201">
        <v>622</v>
      </c>
      <c r="R201">
        <v>528</v>
      </c>
      <c r="S201">
        <f t="shared" si="28"/>
        <v>460</v>
      </c>
      <c r="T201">
        <v>392</v>
      </c>
      <c r="U201">
        <f t="shared" si="29"/>
        <v>276</v>
      </c>
      <c r="V201">
        <v>159</v>
      </c>
      <c r="W201">
        <v>646</v>
      </c>
      <c r="X201">
        <v>571</v>
      </c>
      <c r="Y201">
        <v>476</v>
      </c>
      <c r="Z201">
        <f t="shared" si="30"/>
        <v>411</v>
      </c>
      <c r="AA201">
        <v>345</v>
      </c>
      <c r="AB201">
        <f t="shared" si="31"/>
        <v>241</v>
      </c>
      <c r="AC201">
        <v>137</v>
      </c>
    </row>
    <row r="202" spans="1:29" x14ac:dyDescent="0.25">
      <c r="A202" t="s">
        <v>210</v>
      </c>
      <c r="B202">
        <v>821</v>
      </c>
      <c r="C202">
        <v>728</v>
      </c>
      <c r="D202">
        <v>587</v>
      </c>
      <c r="E202">
        <f t="shared" si="24"/>
        <v>499</v>
      </c>
      <c r="F202">
        <v>411</v>
      </c>
      <c r="G202">
        <f t="shared" si="25"/>
        <v>282</v>
      </c>
      <c r="H202">
        <v>152</v>
      </c>
      <c r="I202">
        <v>821</v>
      </c>
      <c r="J202">
        <v>728</v>
      </c>
      <c r="K202">
        <v>587</v>
      </c>
      <c r="L202">
        <f t="shared" si="26"/>
        <v>499</v>
      </c>
      <c r="M202">
        <v>411</v>
      </c>
      <c r="N202">
        <f t="shared" si="27"/>
        <v>282</v>
      </c>
      <c r="O202">
        <v>152</v>
      </c>
      <c r="P202">
        <v>616</v>
      </c>
      <c r="Q202">
        <v>557</v>
      </c>
      <c r="R202">
        <v>459</v>
      </c>
      <c r="S202">
        <f t="shared" si="28"/>
        <v>397</v>
      </c>
      <c r="T202">
        <v>334</v>
      </c>
      <c r="U202">
        <f t="shared" si="29"/>
        <v>234</v>
      </c>
      <c r="V202">
        <v>133</v>
      </c>
      <c r="W202">
        <v>616</v>
      </c>
      <c r="X202">
        <v>557</v>
      </c>
      <c r="Y202">
        <v>459</v>
      </c>
      <c r="Z202">
        <f t="shared" si="30"/>
        <v>397</v>
      </c>
      <c r="AA202">
        <v>334</v>
      </c>
      <c r="AB202">
        <f t="shared" si="31"/>
        <v>234</v>
      </c>
      <c r="AC202">
        <v>133</v>
      </c>
    </row>
    <row r="203" spans="1:29" x14ac:dyDescent="0.25">
      <c r="A203" t="s">
        <v>211</v>
      </c>
      <c r="B203">
        <v>768</v>
      </c>
      <c r="C203">
        <v>684</v>
      </c>
      <c r="D203">
        <v>554</v>
      </c>
      <c r="E203">
        <f t="shared" si="24"/>
        <v>472</v>
      </c>
      <c r="F203">
        <v>390</v>
      </c>
      <c r="G203">
        <f t="shared" si="25"/>
        <v>267</v>
      </c>
      <c r="H203">
        <v>144</v>
      </c>
      <c r="I203">
        <v>768</v>
      </c>
      <c r="J203">
        <v>684</v>
      </c>
      <c r="K203">
        <v>554</v>
      </c>
      <c r="L203">
        <f t="shared" si="26"/>
        <v>472</v>
      </c>
      <c r="M203">
        <v>390</v>
      </c>
      <c r="N203">
        <f t="shared" si="27"/>
        <v>267</v>
      </c>
      <c r="O203">
        <v>144</v>
      </c>
      <c r="P203">
        <v>575</v>
      </c>
      <c r="Q203">
        <v>523</v>
      </c>
      <c r="R203">
        <v>434</v>
      </c>
      <c r="S203">
        <f t="shared" si="28"/>
        <v>376</v>
      </c>
      <c r="T203">
        <v>317</v>
      </c>
      <c r="U203">
        <f t="shared" si="29"/>
        <v>221</v>
      </c>
      <c r="V203">
        <v>125</v>
      </c>
      <c r="W203">
        <v>575</v>
      </c>
      <c r="X203">
        <v>523</v>
      </c>
      <c r="Y203">
        <v>434</v>
      </c>
      <c r="Z203">
        <f t="shared" si="30"/>
        <v>376</v>
      </c>
      <c r="AA203">
        <v>317</v>
      </c>
      <c r="AB203">
        <f t="shared" si="31"/>
        <v>221</v>
      </c>
      <c r="AC203">
        <v>125</v>
      </c>
    </row>
    <row r="204" spans="1:29" x14ac:dyDescent="0.25">
      <c r="A204" t="s">
        <v>212</v>
      </c>
      <c r="B204">
        <v>713</v>
      </c>
      <c r="C204">
        <v>637</v>
      </c>
      <c r="D204">
        <v>525</v>
      </c>
      <c r="E204">
        <f t="shared" si="24"/>
        <v>446</v>
      </c>
      <c r="F204">
        <v>367</v>
      </c>
      <c r="G204">
        <f t="shared" si="25"/>
        <v>252</v>
      </c>
      <c r="H204">
        <v>137</v>
      </c>
      <c r="I204">
        <v>713</v>
      </c>
      <c r="J204">
        <v>637</v>
      </c>
      <c r="K204">
        <v>525</v>
      </c>
      <c r="L204">
        <f t="shared" si="26"/>
        <v>446</v>
      </c>
      <c r="M204">
        <v>367</v>
      </c>
      <c r="N204">
        <f t="shared" si="27"/>
        <v>252</v>
      </c>
      <c r="O204">
        <v>137</v>
      </c>
      <c r="P204">
        <v>534</v>
      </c>
      <c r="Q204">
        <v>487</v>
      </c>
      <c r="R204">
        <v>411</v>
      </c>
      <c r="S204">
        <f t="shared" si="28"/>
        <v>355</v>
      </c>
      <c r="T204">
        <v>298</v>
      </c>
      <c r="U204">
        <f t="shared" si="29"/>
        <v>209</v>
      </c>
      <c r="V204">
        <v>119</v>
      </c>
      <c r="W204">
        <v>534</v>
      </c>
      <c r="X204">
        <v>487</v>
      </c>
      <c r="Y204">
        <v>411</v>
      </c>
      <c r="Z204">
        <f t="shared" si="30"/>
        <v>355</v>
      </c>
      <c r="AA204">
        <v>298</v>
      </c>
      <c r="AB204">
        <f t="shared" si="31"/>
        <v>209</v>
      </c>
      <c r="AC204">
        <v>119</v>
      </c>
    </row>
    <row r="205" spans="1:29" x14ac:dyDescent="0.25">
      <c r="A205" t="s">
        <v>213</v>
      </c>
      <c r="B205">
        <v>652</v>
      </c>
      <c r="C205">
        <v>585</v>
      </c>
      <c r="D205">
        <v>483</v>
      </c>
      <c r="E205">
        <f t="shared" si="24"/>
        <v>414</v>
      </c>
      <c r="F205">
        <v>345</v>
      </c>
      <c r="G205">
        <f t="shared" si="25"/>
        <v>235</v>
      </c>
      <c r="H205">
        <v>125</v>
      </c>
      <c r="I205">
        <v>652</v>
      </c>
      <c r="J205">
        <v>585</v>
      </c>
      <c r="K205">
        <v>483</v>
      </c>
      <c r="L205">
        <f t="shared" si="26"/>
        <v>414</v>
      </c>
      <c r="M205">
        <v>345</v>
      </c>
      <c r="N205">
        <f t="shared" si="27"/>
        <v>235</v>
      </c>
      <c r="O205">
        <v>125</v>
      </c>
      <c r="P205">
        <v>489</v>
      </c>
      <c r="Q205">
        <v>447</v>
      </c>
      <c r="R205">
        <v>378</v>
      </c>
      <c r="S205">
        <f t="shared" si="28"/>
        <v>329</v>
      </c>
      <c r="T205">
        <v>280</v>
      </c>
      <c r="U205">
        <f t="shared" si="29"/>
        <v>195</v>
      </c>
      <c r="V205">
        <v>109</v>
      </c>
      <c r="W205">
        <v>489</v>
      </c>
      <c r="X205">
        <v>447</v>
      </c>
      <c r="Y205">
        <v>378</v>
      </c>
      <c r="Z205">
        <f t="shared" si="30"/>
        <v>329</v>
      </c>
      <c r="AA205">
        <v>280</v>
      </c>
      <c r="AB205">
        <f t="shared" si="31"/>
        <v>195</v>
      </c>
      <c r="AC205">
        <v>109</v>
      </c>
    </row>
    <row r="206" spans="1:29" x14ac:dyDescent="0.25">
      <c r="A206" t="s">
        <v>214</v>
      </c>
      <c r="B206">
        <v>1049</v>
      </c>
      <c r="C206">
        <v>920</v>
      </c>
      <c r="D206">
        <v>754</v>
      </c>
      <c r="E206">
        <f t="shared" si="24"/>
        <v>645</v>
      </c>
      <c r="F206">
        <v>535</v>
      </c>
      <c r="G206">
        <f t="shared" si="25"/>
        <v>368</v>
      </c>
      <c r="H206">
        <v>201</v>
      </c>
      <c r="I206">
        <v>912</v>
      </c>
      <c r="J206">
        <v>789</v>
      </c>
      <c r="K206">
        <v>637</v>
      </c>
      <c r="L206">
        <f t="shared" si="26"/>
        <v>541</v>
      </c>
      <c r="M206">
        <v>444</v>
      </c>
      <c r="N206">
        <f t="shared" si="27"/>
        <v>304</v>
      </c>
      <c r="O206">
        <v>164</v>
      </c>
      <c r="P206">
        <v>787</v>
      </c>
      <c r="Q206">
        <v>704</v>
      </c>
      <c r="R206">
        <v>591</v>
      </c>
      <c r="S206">
        <f t="shared" si="28"/>
        <v>513</v>
      </c>
      <c r="T206">
        <v>435</v>
      </c>
      <c r="U206">
        <f t="shared" si="29"/>
        <v>305</v>
      </c>
      <c r="V206">
        <v>175</v>
      </c>
      <c r="W206">
        <v>684</v>
      </c>
      <c r="X206">
        <v>604</v>
      </c>
      <c r="Y206">
        <v>499</v>
      </c>
      <c r="Z206">
        <f t="shared" si="30"/>
        <v>430</v>
      </c>
      <c r="AA206">
        <v>361</v>
      </c>
      <c r="AB206">
        <f t="shared" si="31"/>
        <v>252</v>
      </c>
      <c r="AC206">
        <v>142</v>
      </c>
    </row>
    <row r="207" spans="1:29" x14ac:dyDescent="0.25">
      <c r="A207" t="s">
        <v>215</v>
      </c>
      <c r="B207">
        <v>912</v>
      </c>
      <c r="C207">
        <v>806</v>
      </c>
      <c r="D207">
        <v>666</v>
      </c>
      <c r="E207">
        <f t="shared" si="24"/>
        <v>571</v>
      </c>
      <c r="F207">
        <v>475</v>
      </c>
      <c r="G207">
        <f t="shared" si="25"/>
        <v>327</v>
      </c>
      <c r="H207">
        <v>179</v>
      </c>
      <c r="I207">
        <v>859</v>
      </c>
      <c r="J207">
        <v>746</v>
      </c>
      <c r="K207">
        <v>605</v>
      </c>
      <c r="L207">
        <f t="shared" si="26"/>
        <v>514</v>
      </c>
      <c r="M207">
        <v>422</v>
      </c>
      <c r="N207">
        <f t="shared" si="27"/>
        <v>289</v>
      </c>
      <c r="O207">
        <v>156</v>
      </c>
      <c r="P207">
        <v>684</v>
      </c>
      <c r="Q207">
        <v>617</v>
      </c>
      <c r="R207">
        <v>521</v>
      </c>
      <c r="S207">
        <f t="shared" si="28"/>
        <v>454</v>
      </c>
      <c r="T207">
        <v>386</v>
      </c>
      <c r="U207">
        <f t="shared" si="29"/>
        <v>271</v>
      </c>
      <c r="V207">
        <v>156</v>
      </c>
      <c r="W207">
        <v>644</v>
      </c>
      <c r="X207">
        <v>571</v>
      </c>
      <c r="Y207">
        <v>473</v>
      </c>
      <c r="Z207">
        <f t="shared" si="30"/>
        <v>408</v>
      </c>
      <c r="AA207">
        <v>343</v>
      </c>
      <c r="AB207">
        <f t="shared" si="31"/>
        <v>240</v>
      </c>
      <c r="AC207">
        <v>136</v>
      </c>
    </row>
    <row r="208" spans="1:29" x14ac:dyDescent="0.25">
      <c r="A208" t="s">
        <v>216</v>
      </c>
      <c r="B208">
        <v>815</v>
      </c>
      <c r="C208">
        <v>722</v>
      </c>
      <c r="D208">
        <v>582</v>
      </c>
      <c r="E208">
        <f t="shared" si="24"/>
        <v>499</v>
      </c>
      <c r="F208">
        <v>415</v>
      </c>
      <c r="G208">
        <f t="shared" si="25"/>
        <v>286</v>
      </c>
      <c r="H208">
        <v>156</v>
      </c>
      <c r="I208">
        <v>815</v>
      </c>
      <c r="J208">
        <v>722</v>
      </c>
      <c r="K208">
        <v>582</v>
      </c>
      <c r="L208">
        <f t="shared" si="26"/>
        <v>491</v>
      </c>
      <c r="M208">
        <v>400</v>
      </c>
      <c r="N208">
        <f t="shared" si="27"/>
        <v>274</v>
      </c>
      <c r="O208">
        <v>148</v>
      </c>
      <c r="P208">
        <v>611</v>
      </c>
      <c r="Q208">
        <v>553</v>
      </c>
      <c r="R208">
        <v>455</v>
      </c>
      <c r="S208">
        <f t="shared" si="28"/>
        <v>396</v>
      </c>
      <c r="T208">
        <v>337</v>
      </c>
      <c r="U208">
        <f t="shared" si="29"/>
        <v>237</v>
      </c>
      <c r="V208">
        <v>136</v>
      </c>
      <c r="W208">
        <v>611</v>
      </c>
      <c r="X208">
        <v>553</v>
      </c>
      <c r="Y208">
        <v>455</v>
      </c>
      <c r="Z208">
        <f t="shared" si="30"/>
        <v>390</v>
      </c>
      <c r="AA208">
        <v>325</v>
      </c>
      <c r="AB208">
        <f t="shared" si="31"/>
        <v>227</v>
      </c>
      <c r="AC208">
        <v>129</v>
      </c>
    </row>
    <row r="209" spans="1:29" x14ac:dyDescent="0.25">
      <c r="A209" t="s">
        <v>217</v>
      </c>
      <c r="B209">
        <v>761</v>
      </c>
      <c r="C209">
        <v>677</v>
      </c>
      <c r="D209">
        <v>549</v>
      </c>
      <c r="E209">
        <f t="shared" si="24"/>
        <v>468</v>
      </c>
      <c r="F209">
        <v>386</v>
      </c>
      <c r="G209">
        <f t="shared" si="25"/>
        <v>264</v>
      </c>
      <c r="H209">
        <v>142</v>
      </c>
      <c r="I209">
        <v>761</v>
      </c>
      <c r="J209">
        <v>677</v>
      </c>
      <c r="K209">
        <v>549</v>
      </c>
      <c r="L209">
        <f t="shared" si="26"/>
        <v>468</v>
      </c>
      <c r="M209">
        <v>386</v>
      </c>
      <c r="N209">
        <f t="shared" si="27"/>
        <v>264</v>
      </c>
      <c r="O209">
        <v>142</v>
      </c>
      <c r="P209">
        <v>570</v>
      </c>
      <c r="Q209">
        <v>518</v>
      </c>
      <c r="R209">
        <v>430</v>
      </c>
      <c r="S209">
        <f t="shared" si="28"/>
        <v>372</v>
      </c>
      <c r="T209">
        <v>314</v>
      </c>
      <c r="U209">
        <f t="shared" si="29"/>
        <v>219</v>
      </c>
      <c r="V209">
        <v>124</v>
      </c>
      <c r="W209">
        <v>570</v>
      </c>
      <c r="X209">
        <v>518</v>
      </c>
      <c r="Y209">
        <v>430</v>
      </c>
      <c r="Z209">
        <f t="shared" si="30"/>
        <v>372</v>
      </c>
      <c r="AA209">
        <v>314</v>
      </c>
      <c r="AB209">
        <f t="shared" si="31"/>
        <v>219</v>
      </c>
      <c r="AC209">
        <v>124</v>
      </c>
    </row>
    <row r="210" spans="1:29" x14ac:dyDescent="0.25">
      <c r="A210" t="s">
        <v>218</v>
      </c>
      <c r="B210">
        <v>706</v>
      </c>
      <c r="C210">
        <v>630</v>
      </c>
      <c r="D210">
        <v>520</v>
      </c>
      <c r="E210">
        <f t="shared" si="24"/>
        <v>442</v>
      </c>
      <c r="F210">
        <v>364</v>
      </c>
      <c r="G210">
        <f t="shared" si="25"/>
        <v>250</v>
      </c>
      <c r="H210">
        <v>136</v>
      </c>
      <c r="I210">
        <v>706</v>
      </c>
      <c r="J210">
        <v>630</v>
      </c>
      <c r="K210">
        <v>520</v>
      </c>
      <c r="L210">
        <f t="shared" si="26"/>
        <v>442</v>
      </c>
      <c r="M210">
        <v>364</v>
      </c>
      <c r="N210">
        <f t="shared" si="27"/>
        <v>250</v>
      </c>
      <c r="O210">
        <v>136</v>
      </c>
      <c r="P210">
        <v>529</v>
      </c>
      <c r="Q210">
        <v>482</v>
      </c>
      <c r="R210">
        <v>407</v>
      </c>
      <c r="S210">
        <f t="shared" si="28"/>
        <v>351</v>
      </c>
      <c r="T210">
        <v>295</v>
      </c>
      <c r="U210">
        <f t="shared" si="29"/>
        <v>207</v>
      </c>
      <c r="V210">
        <v>118</v>
      </c>
      <c r="W210">
        <v>529</v>
      </c>
      <c r="X210">
        <v>482</v>
      </c>
      <c r="Y210">
        <v>407</v>
      </c>
      <c r="Z210">
        <f t="shared" si="30"/>
        <v>351</v>
      </c>
      <c r="AA210">
        <v>295</v>
      </c>
      <c r="AB210">
        <f t="shared" si="31"/>
        <v>207</v>
      </c>
      <c r="AC210">
        <v>118</v>
      </c>
    </row>
    <row r="211" spans="1:29" x14ac:dyDescent="0.25">
      <c r="A211" t="s">
        <v>219</v>
      </c>
      <c r="B211">
        <v>648</v>
      </c>
      <c r="C211">
        <v>581</v>
      </c>
      <c r="D211">
        <v>481</v>
      </c>
      <c r="E211">
        <f t="shared" si="24"/>
        <v>412</v>
      </c>
      <c r="F211">
        <v>343</v>
      </c>
      <c r="G211">
        <f t="shared" si="25"/>
        <v>234</v>
      </c>
      <c r="H211">
        <v>125</v>
      </c>
      <c r="I211">
        <v>648</v>
      </c>
      <c r="J211">
        <v>581</v>
      </c>
      <c r="K211">
        <v>481</v>
      </c>
      <c r="L211">
        <f t="shared" si="26"/>
        <v>412</v>
      </c>
      <c r="M211">
        <v>343</v>
      </c>
      <c r="N211">
        <f t="shared" si="27"/>
        <v>234</v>
      </c>
      <c r="O211">
        <v>125</v>
      </c>
      <c r="P211">
        <v>485</v>
      </c>
      <c r="Q211">
        <v>445</v>
      </c>
      <c r="R211">
        <v>376</v>
      </c>
      <c r="S211">
        <f t="shared" si="28"/>
        <v>328</v>
      </c>
      <c r="T211">
        <v>279</v>
      </c>
      <c r="U211">
        <f t="shared" si="29"/>
        <v>194</v>
      </c>
      <c r="V211">
        <v>109</v>
      </c>
      <c r="W211">
        <v>485</v>
      </c>
      <c r="X211">
        <v>445</v>
      </c>
      <c r="Y211">
        <v>376</v>
      </c>
      <c r="Z211">
        <f t="shared" si="30"/>
        <v>328</v>
      </c>
      <c r="AA211">
        <v>279</v>
      </c>
      <c r="AB211">
        <f t="shared" si="31"/>
        <v>194</v>
      </c>
      <c r="AC211">
        <v>109</v>
      </c>
    </row>
    <row r="212" spans="1:29" x14ac:dyDescent="0.25">
      <c r="A212" t="s">
        <v>220</v>
      </c>
      <c r="B212">
        <v>585</v>
      </c>
      <c r="C212">
        <v>527</v>
      </c>
      <c r="D212">
        <v>438</v>
      </c>
      <c r="E212">
        <f t="shared" si="24"/>
        <v>376</v>
      </c>
      <c r="F212">
        <v>313</v>
      </c>
      <c r="G212">
        <f t="shared" si="25"/>
        <v>213</v>
      </c>
      <c r="H212">
        <v>113</v>
      </c>
      <c r="I212">
        <v>585</v>
      </c>
      <c r="J212">
        <v>527</v>
      </c>
      <c r="K212">
        <v>438</v>
      </c>
      <c r="L212">
        <f t="shared" si="26"/>
        <v>376</v>
      </c>
      <c r="M212">
        <v>313</v>
      </c>
      <c r="N212">
        <f t="shared" si="27"/>
        <v>213</v>
      </c>
      <c r="O212">
        <v>113</v>
      </c>
      <c r="P212">
        <v>439</v>
      </c>
      <c r="Q212">
        <v>404</v>
      </c>
      <c r="R212">
        <v>343</v>
      </c>
      <c r="S212">
        <f t="shared" si="28"/>
        <v>299</v>
      </c>
      <c r="T212">
        <v>255</v>
      </c>
      <c r="U212">
        <f t="shared" si="29"/>
        <v>177</v>
      </c>
      <c r="V212">
        <v>99</v>
      </c>
      <c r="W212">
        <v>439</v>
      </c>
      <c r="X212">
        <v>404</v>
      </c>
      <c r="Y212">
        <v>343</v>
      </c>
      <c r="Z212">
        <f t="shared" si="30"/>
        <v>299</v>
      </c>
      <c r="AA212">
        <v>255</v>
      </c>
      <c r="AB212">
        <f t="shared" si="31"/>
        <v>177</v>
      </c>
      <c r="AC212">
        <v>99</v>
      </c>
    </row>
    <row r="213" spans="1:29" x14ac:dyDescent="0.25">
      <c r="A213" t="s">
        <v>221</v>
      </c>
      <c r="B213">
        <v>905</v>
      </c>
      <c r="C213">
        <v>797</v>
      </c>
      <c r="D213">
        <v>657</v>
      </c>
      <c r="E213">
        <f t="shared" si="24"/>
        <v>563</v>
      </c>
      <c r="F213">
        <v>468</v>
      </c>
      <c r="G213">
        <f t="shared" si="25"/>
        <v>322</v>
      </c>
      <c r="H213">
        <v>176</v>
      </c>
      <c r="I213">
        <v>856</v>
      </c>
      <c r="J213">
        <v>742</v>
      </c>
      <c r="K213">
        <v>601</v>
      </c>
      <c r="L213">
        <f t="shared" si="26"/>
        <v>511</v>
      </c>
      <c r="M213">
        <v>420</v>
      </c>
      <c r="N213">
        <f t="shared" si="27"/>
        <v>287</v>
      </c>
      <c r="O213">
        <v>154</v>
      </c>
      <c r="P213">
        <v>678</v>
      </c>
      <c r="Q213">
        <v>610</v>
      </c>
      <c r="R213">
        <v>515</v>
      </c>
      <c r="S213">
        <f t="shared" si="28"/>
        <v>448</v>
      </c>
      <c r="T213">
        <v>380</v>
      </c>
      <c r="U213">
        <f t="shared" si="29"/>
        <v>267</v>
      </c>
      <c r="V213">
        <v>153</v>
      </c>
      <c r="W213">
        <v>641</v>
      </c>
      <c r="X213">
        <v>568</v>
      </c>
      <c r="Y213">
        <v>471</v>
      </c>
      <c r="Z213">
        <f t="shared" si="30"/>
        <v>406</v>
      </c>
      <c r="AA213">
        <v>341</v>
      </c>
      <c r="AB213">
        <f t="shared" si="31"/>
        <v>238</v>
      </c>
      <c r="AC213">
        <v>134</v>
      </c>
    </row>
    <row r="214" spans="1:29" x14ac:dyDescent="0.25">
      <c r="A214" t="s">
        <v>222</v>
      </c>
      <c r="B214">
        <v>808</v>
      </c>
      <c r="C214">
        <v>716</v>
      </c>
      <c r="D214">
        <v>576</v>
      </c>
      <c r="E214">
        <f t="shared" si="24"/>
        <v>494</v>
      </c>
      <c r="F214">
        <v>411</v>
      </c>
      <c r="G214">
        <f t="shared" si="25"/>
        <v>282</v>
      </c>
      <c r="H214">
        <v>152</v>
      </c>
      <c r="I214">
        <v>808</v>
      </c>
      <c r="J214">
        <v>716</v>
      </c>
      <c r="K214">
        <v>576</v>
      </c>
      <c r="L214">
        <f t="shared" si="26"/>
        <v>489</v>
      </c>
      <c r="M214">
        <v>401</v>
      </c>
      <c r="N214">
        <f t="shared" si="27"/>
        <v>273</v>
      </c>
      <c r="O214">
        <v>145</v>
      </c>
      <c r="P214">
        <v>606</v>
      </c>
      <c r="Q214">
        <v>548</v>
      </c>
      <c r="R214">
        <v>451</v>
      </c>
      <c r="S214">
        <f t="shared" si="28"/>
        <v>393</v>
      </c>
      <c r="T214">
        <v>334</v>
      </c>
      <c r="U214">
        <f t="shared" si="29"/>
        <v>234</v>
      </c>
      <c r="V214">
        <v>133</v>
      </c>
      <c r="W214">
        <v>606</v>
      </c>
      <c r="X214">
        <v>548</v>
      </c>
      <c r="Y214">
        <v>451</v>
      </c>
      <c r="Z214">
        <f t="shared" si="30"/>
        <v>389</v>
      </c>
      <c r="AA214">
        <v>326</v>
      </c>
      <c r="AB214">
        <f t="shared" si="31"/>
        <v>227</v>
      </c>
      <c r="AC214">
        <v>127</v>
      </c>
    </row>
    <row r="215" spans="1:29" x14ac:dyDescent="0.25">
      <c r="A215" t="s">
        <v>223</v>
      </c>
      <c r="B215">
        <v>754</v>
      </c>
      <c r="C215">
        <v>670</v>
      </c>
      <c r="D215">
        <v>543</v>
      </c>
      <c r="E215">
        <f t="shared" si="24"/>
        <v>462</v>
      </c>
      <c r="F215">
        <v>381</v>
      </c>
      <c r="G215">
        <f t="shared" si="25"/>
        <v>261</v>
      </c>
      <c r="H215">
        <v>140</v>
      </c>
      <c r="I215">
        <v>754</v>
      </c>
      <c r="J215">
        <v>670</v>
      </c>
      <c r="K215">
        <v>543</v>
      </c>
      <c r="L215">
        <f t="shared" si="26"/>
        <v>462</v>
      </c>
      <c r="M215">
        <v>381</v>
      </c>
      <c r="N215">
        <f t="shared" si="27"/>
        <v>261</v>
      </c>
      <c r="O215">
        <v>140</v>
      </c>
      <c r="P215">
        <v>565</v>
      </c>
      <c r="Q215">
        <v>513</v>
      </c>
      <c r="R215">
        <v>425</v>
      </c>
      <c r="S215">
        <f t="shared" si="28"/>
        <v>368</v>
      </c>
      <c r="T215">
        <v>310</v>
      </c>
      <c r="U215">
        <f t="shared" si="29"/>
        <v>216</v>
      </c>
      <c r="V215">
        <v>122</v>
      </c>
      <c r="W215">
        <v>565</v>
      </c>
      <c r="X215">
        <v>513</v>
      </c>
      <c r="Y215">
        <v>425</v>
      </c>
      <c r="Z215">
        <f t="shared" si="30"/>
        <v>368</v>
      </c>
      <c r="AA215">
        <v>310</v>
      </c>
      <c r="AB215">
        <f t="shared" si="31"/>
        <v>216</v>
      </c>
      <c r="AC215">
        <v>122</v>
      </c>
    </row>
    <row r="216" spans="1:29" x14ac:dyDescent="0.25">
      <c r="A216" t="s">
        <v>224</v>
      </c>
      <c r="B216">
        <v>699</v>
      </c>
      <c r="C216">
        <v>623</v>
      </c>
      <c r="D216">
        <v>513</v>
      </c>
      <c r="E216">
        <f t="shared" si="24"/>
        <v>437</v>
      </c>
      <c r="F216">
        <v>360</v>
      </c>
      <c r="G216">
        <f t="shared" si="25"/>
        <v>247</v>
      </c>
      <c r="H216">
        <v>134</v>
      </c>
      <c r="I216">
        <v>699</v>
      </c>
      <c r="J216">
        <v>623</v>
      </c>
      <c r="K216">
        <v>513</v>
      </c>
      <c r="L216">
        <f t="shared" si="26"/>
        <v>437</v>
      </c>
      <c r="M216">
        <v>360</v>
      </c>
      <c r="N216">
        <f t="shared" si="27"/>
        <v>247</v>
      </c>
      <c r="O216">
        <v>134</v>
      </c>
      <c r="P216">
        <v>524</v>
      </c>
      <c r="Q216">
        <v>477</v>
      </c>
      <c r="R216">
        <v>402</v>
      </c>
      <c r="S216">
        <f t="shared" si="28"/>
        <v>347</v>
      </c>
      <c r="T216">
        <v>292</v>
      </c>
      <c r="U216">
        <f t="shared" si="29"/>
        <v>205</v>
      </c>
      <c r="V216">
        <v>117</v>
      </c>
      <c r="W216">
        <v>524</v>
      </c>
      <c r="X216">
        <v>477</v>
      </c>
      <c r="Y216">
        <v>402</v>
      </c>
      <c r="Z216">
        <f t="shared" si="30"/>
        <v>347</v>
      </c>
      <c r="AA216">
        <v>292</v>
      </c>
      <c r="AB216">
        <f t="shared" si="31"/>
        <v>205</v>
      </c>
      <c r="AC216">
        <v>117</v>
      </c>
    </row>
    <row r="217" spans="1:29" x14ac:dyDescent="0.25">
      <c r="A217" t="s">
        <v>225</v>
      </c>
      <c r="B217">
        <v>642</v>
      </c>
      <c r="C217">
        <v>576</v>
      </c>
      <c r="D217">
        <v>477</v>
      </c>
      <c r="E217">
        <f t="shared" si="24"/>
        <v>409</v>
      </c>
      <c r="F217">
        <v>341</v>
      </c>
      <c r="G217">
        <f t="shared" si="25"/>
        <v>233</v>
      </c>
      <c r="H217">
        <v>125</v>
      </c>
      <c r="I217">
        <v>642</v>
      </c>
      <c r="J217">
        <v>576</v>
      </c>
      <c r="K217">
        <v>477</v>
      </c>
      <c r="L217">
        <f t="shared" si="26"/>
        <v>409</v>
      </c>
      <c r="M217">
        <v>341</v>
      </c>
      <c r="N217">
        <f t="shared" si="27"/>
        <v>233</v>
      </c>
      <c r="O217">
        <v>125</v>
      </c>
      <c r="P217">
        <v>481</v>
      </c>
      <c r="Q217">
        <v>441</v>
      </c>
      <c r="R217">
        <v>374</v>
      </c>
      <c r="S217">
        <f t="shared" si="28"/>
        <v>326</v>
      </c>
      <c r="T217">
        <v>277</v>
      </c>
      <c r="U217">
        <f t="shared" si="29"/>
        <v>193</v>
      </c>
      <c r="V217">
        <v>109</v>
      </c>
      <c r="W217">
        <v>481</v>
      </c>
      <c r="X217">
        <v>441</v>
      </c>
      <c r="Y217">
        <v>374</v>
      </c>
      <c r="Z217">
        <f t="shared" si="30"/>
        <v>326</v>
      </c>
      <c r="AA217">
        <v>277</v>
      </c>
      <c r="AB217">
        <f t="shared" si="31"/>
        <v>193</v>
      </c>
      <c r="AC217">
        <v>109</v>
      </c>
    </row>
    <row r="218" spans="1:29" x14ac:dyDescent="0.25">
      <c r="A218" t="s">
        <v>226</v>
      </c>
      <c r="B218">
        <v>581</v>
      </c>
      <c r="C218">
        <v>524</v>
      </c>
      <c r="D218">
        <v>436</v>
      </c>
      <c r="E218">
        <f t="shared" si="24"/>
        <v>374</v>
      </c>
      <c r="F218">
        <v>312</v>
      </c>
      <c r="G218">
        <f t="shared" si="25"/>
        <v>213</v>
      </c>
      <c r="H218">
        <v>114</v>
      </c>
      <c r="I218">
        <v>581</v>
      </c>
      <c r="J218">
        <v>524</v>
      </c>
      <c r="K218">
        <v>436</v>
      </c>
      <c r="L218">
        <f t="shared" si="26"/>
        <v>374</v>
      </c>
      <c r="M218">
        <v>312</v>
      </c>
      <c r="N218">
        <f t="shared" si="27"/>
        <v>213</v>
      </c>
      <c r="O218">
        <v>114</v>
      </c>
      <c r="P218">
        <v>436</v>
      </c>
      <c r="Q218">
        <v>401</v>
      </c>
      <c r="R218">
        <v>341</v>
      </c>
      <c r="S218">
        <f t="shared" si="28"/>
        <v>297</v>
      </c>
      <c r="T218">
        <v>253</v>
      </c>
      <c r="U218">
        <f t="shared" si="29"/>
        <v>176</v>
      </c>
      <c r="V218">
        <v>99</v>
      </c>
      <c r="W218">
        <v>436</v>
      </c>
      <c r="X218">
        <v>401</v>
      </c>
      <c r="Y218">
        <v>341</v>
      </c>
      <c r="Z218">
        <f t="shared" si="30"/>
        <v>297</v>
      </c>
      <c r="AA218">
        <v>253</v>
      </c>
      <c r="AB218">
        <f t="shared" si="31"/>
        <v>176</v>
      </c>
      <c r="AC218">
        <v>99</v>
      </c>
    </row>
    <row r="219" spans="1:29" x14ac:dyDescent="0.25">
      <c r="A219" t="s">
        <v>227</v>
      </c>
      <c r="B219">
        <v>517</v>
      </c>
      <c r="C219">
        <v>468</v>
      </c>
      <c r="D219">
        <v>392</v>
      </c>
      <c r="E219">
        <f t="shared" si="24"/>
        <v>337</v>
      </c>
      <c r="F219">
        <v>282</v>
      </c>
      <c r="G219">
        <f t="shared" si="25"/>
        <v>192</v>
      </c>
      <c r="H219">
        <v>102</v>
      </c>
      <c r="I219">
        <v>517</v>
      </c>
      <c r="J219">
        <v>468</v>
      </c>
      <c r="K219">
        <v>392</v>
      </c>
      <c r="L219">
        <f t="shared" si="26"/>
        <v>337</v>
      </c>
      <c r="M219">
        <v>282</v>
      </c>
      <c r="N219">
        <f t="shared" si="27"/>
        <v>192</v>
      </c>
      <c r="O219">
        <v>102</v>
      </c>
      <c r="P219">
        <v>388</v>
      </c>
      <c r="Q219">
        <v>358</v>
      </c>
      <c r="R219">
        <v>307</v>
      </c>
      <c r="S219">
        <f t="shared" si="28"/>
        <v>268</v>
      </c>
      <c r="T219">
        <v>229</v>
      </c>
      <c r="U219">
        <f t="shared" si="29"/>
        <v>159</v>
      </c>
      <c r="V219">
        <v>89</v>
      </c>
      <c r="W219">
        <v>388</v>
      </c>
      <c r="X219">
        <v>358</v>
      </c>
      <c r="Y219">
        <v>307</v>
      </c>
      <c r="Z219">
        <f t="shared" si="30"/>
        <v>268</v>
      </c>
      <c r="AA219">
        <v>229</v>
      </c>
      <c r="AB219">
        <f t="shared" si="31"/>
        <v>159</v>
      </c>
      <c r="AC219">
        <v>89</v>
      </c>
    </row>
    <row r="220" spans="1:29" x14ac:dyDescent="0.25">
      <c r="A220" t="s">
        <v>228</v>
      </c>
      <c r="B220">
        <v>801</v>
      </c>
      <c r="C220">
        <v>709</v>
      </c>
      <c r="D220">
        <v>569</v>
      </c>
      <c r="E220">
        <f t="shared" si="24"/>
        <v>483</v>
      </c>
      <c r="F220">
        <v>397</v>
      </c>
      <c r="G220">
        <f t="shared" si="25"/>
        <v>273</v>
      </c>
      <c r="H220">
        <v>149</v>
      </c>
      <c r="I220">
        <v>801</v>
      </c>
      <c r="J220">
        <v>709</v>
      </c>
      <c r="K220">
        <v>569</v>
      </c>
      <c r="L220">
        <f t="shared" si="26"/>
        <v>483</v>
      </c>
      <c r="M220">
        <v>397</v>
      </c>
      <c r="N220">
        <f t="shared" si="27"/>
        <v>271</v>
      </c>
      <c r="O220">
        <v>144</v>
      </c>
      <c r="P220">
        <v>601</v>
      </c>
      <c r="Q220">
        <v>542</v>
      </c>
      <c r="R220">
        <v>446</v>
      </c>
      <c r="S220">
        <f t="shared" si="28"/>
        <v>385</v>
      </c>
      <c r="T220">
        <v>323</v>
      </c>
      <c r="U220">
        <f t="shared" si="29"/>
        <v>227</v>
      </c>
      <c r="V220">
        <v>130</v>
      </c>
      <c r="W220">
        <v>601</v>
      </c>
      <c r="X220">
        <v>542</v>
      </c>
      <c r="Y220">
        <v>446</v>
      </c>
      <c r="Z220">
        <f t="shared" si="30"/>
        <v>385</v>
      </c>
      <c r="AA220">
        <v>323</v>
      </c>
      <c r="AB220">
        <f t="shared" si="31"/>
        <v>225</v>
      </c>
      <c r="AC220">
        <v>126</v>
      </c>
    </row>
    <row r="221" spans="1:29" x14ac:dyDescent="0.25">
      <c r="A221" t="s">
        <v>229</v>
      </c>
      <c r="B221">
        <v>746</v>
      </c>
      <c r="C221">
        <v>663</v>
      </c>
      <c r="D221">
        <v>543</v>
      </c>
      <c r="E221">
        <f t="shared" si="24"/>
        <v>460</v>
      </c>
      <c r="F221">
        <v>376</v>
      </c>
      <c r="G221">
        <f t="shared" si="25"/>
        <v>257</v>
      </c>
      <c r="H221">
        <v>138</v>
      </c>
      <c r="I221">
        <v>746</v>
      </c>
      <c r="J221">
        <v>663</v>
      </c>
      <c r="K221">
        <v>543</v>
      </c>
      <c r="L221">
        <f t="shared" si="26"/>
        <v>460</v>
      </c>
      <c r="M221">
        <v>376</v>
      </c>
      <c r="N221">
        <f t="shared" si="27"/>
        <v>257</v>
      </c>
      <c r="O221">
        <v>138</v>
      </c>
      <c r="P221">
        <v>559</v>
      </c>
      <c r="Q221">
        <v>508</v>
      </c>
      <c r="R221">
        <v>425</v>
      </c>
      <c r="S221">
        <f t="shared" si="28"/>
        <v>366</v>
      </c>
      <c r="T221">
        <v>306</v>
      </c>
      <c r="U221">
        <f t="shared" si="29"/>
        <v>213</v>
      </c>
      <c r="V221">
        <v>120</v>
      </c>
      <c r="W221">
        <v>559</v>
      </c>
      <c r="X221">
        <v>508</v>
      </c>
      <c r="Y221">
        <v>425</v>
      </c>
      <c r="Z221">
        <f t="shared" si="30"/>
        <v>366</v>
      </c>
      <c r="AA221">
        <v>306</v>
      </c>
      <c r="AB221">
        <f t="shared" si="31"/>
        <v>213</v>
      </c>
      <c r="AC221">
        <v>120</v>
      </c>
    </row>
    <row r="222" spans="1:29" x14ac:dyDescent="0.25">
      <c r="A222" t="s">
        <v>230</v>
      </c>
      <c r="B222">
        <v>691</v>
      </c>
      <c r="C222">
        <v>616</v>
      </c>
      <c r="D222">
        <v>508</v>
      </c>
      <c r="E222">
        <f t="shared" si="24"/>
        <v>432</v>
      </c>
      <c r="F222">
        <v>355</v>
      </c>
      <c r="G222">
        <f t="shared" si="25"/>
        <v>243</v>
      </c>
      <c r="H222">
        <v>130</v>
      </c>
      <c r="I222">
        <v>691</v>
      </c>
      <c r="J222">
        <v>616</v>
      </c>
      <c r="K222">
        <v>508</v>
      </c>
      <c r="L222">
        <f t="shared" si="26"/>
        <v>432</v>
      </c>
      <c r="M222">
        <v>355</v>
      </c>
      <c r="N222">
        <f t="shared" si="27"/>
        <v>243</v>
      </c>
      <c r="O222">
        <v>130</v>
      </c>
      <c r="P222">
        <v>518</v>
      </c>
      <c r="Q222">
        <v>472</v>
      </c>
      <c r="R222">
        <v>397</v>
      </c>
      <c r="S222">
        <f t="shared" si="28"/>
        <v>343</v>
      </c>
      <c r="T222">
        <v>288</v>
      </c>
      <c r="U222">
        <f t="shared" si="29"/>
        <v>201</v>
      </c>
      <c r="V222">
        <v>113</v>
      </c>
      <c r="W222">
        <v>518</v>
      </c>
      <c r="X222">
        <v>472</v>
      </c>
      <c r="Y222">
        <v>397</v>
      </c>
      <c r="Z222">
        <f t="shared" si="30"/>
        <v>343</v>
      </c>
      <c r="AA222">
        <v>288</v>
      </c>
      <c r="AB222">
        <f t="shared" si="31"/>
        <v>201</v>
      </c>
      <c r="AC222">
        <v>113</v>
      </c>
    </row>
    <row r="223" spans="1:29" x14ac:dyDescent="0.25">
      <c r="A223" t="s">
        <v>231</v>
      </c>
      <c r="B223">
        <v>635</v>
      </c>
      <c r="C223">
        <v>569</v>
      </c>
      <c r="D223">
        <v>471</v>
      </c>
      <c r="E223">
        <f t="shared" si="24"/>
        <v>404</v>
      </c>
      <c r="F223">
        <v>336</v>
      </c>
      <c r="G223">
        <f t="shared" si="25"/>
        <v>230</v>
      </c>
      <c r="H223">
        <v>124</v>
      </c>
      <c r="I223">
        <v>635</v>
      </c>
      <c r="J223">
        <v>569</v>
      </c>
      <c r="K223">
        <v>471</v>
      </c>
      <c r="L223">
        <f t="shared" si="26"/>
        <v>404</v>
      </c>
      <c r="M223">
        <v>336</v>
      </c>
      <c r="N223">
        <f t="shared" si="27"/>
        <v>230</v>
      </c>
      <c r="O223">
        <v>124</v>
      </c>
      <c r="P223">
        <v>476</v>
      </c>
      <c r="Q223">
        <v>435</v>
      </c>
      <c r="R223">
        <v>369</v>
      </c>
      <c r="S223">
        <f t="shared" si="28"/>
        <v>321</v>
      </c>
      <c r="T223">
        <v>273</v>
      </c>
      <c r="U223">
        <f t="shared" si="29"/>
        <v>191</v>
      </c>
      <c r="V223">
        <v>108</v>
      </c>
      <c r="W223">
        <v>476</v>
      </c>
      <c r="X223">
        <v>435</v>
      </c>
      <c r="Y223">
        <v>369</v>
      </c>
      <c r="Z223">
        <f t="shared" si="30"/>
        <v>321</v>
      </c>
      <c r="AA223">
        <v>273</v>
      </c>
      <c r="AB223">
        <f t="shared" si="31"/>
        <v>191</v>
      </c>
      <c r="AC223">
        <v>108</v>
      </c>
    </row>
    <row r="224" spans="1:29" x14ac:dyDescent="0.25">
      <c r="A224" t="s">
        <v>232</v>
      </c>
      <c r="B224">
        <v>576</v>
      </c>
      <c r="C224">
        <v>520</v>
      </c>
      <c r="D224">
        <v>432</v>
      </c>
      <c r="E224">
        <f t="shared" si="24"/>
        <v>372</v>
      </c>
      <c r="F224">
        <v>311</v>
      </c>
      <c r="G224">
        <f t="shared" si="25"/>
        <v>213</v>
      </c>
      <c r="H224">
        <v>114</v>
      </c>
      <c r="I224">
        <v>576</v>
      </c>
      <c r="J224">
        <v>520</v>
      </c>
      <c r="K224">
        <v>432</v>
      </c>
      <c r="L224">
        <f t="shared" si="26"/>
        <v>372</v>
      </c>
      <c r="M224">
        <v>311</v>
      </c>
      <c r="N224">
        <f t="shared" si="27"/>
        <v>213</v>
      </c>
      <c r="O224">
        <v>114</v>
      </c>
      <c r="P224">
        <v>432</v>
      </c>
      <c r="Q224">
        <v>398</v>
      </c>
      <c r="R224">
        <v>338</v>
      </c>
      <c r="S224">
        <f t="shared" si="28"/>
        <v>296</v>
      </c>
      <c r="T224">
        <v>253</v>
      </c>
      <c r="U224">
        <f t="shared" si="29"/>
        <v>176</v>
      </c>
      <c r="V224">
        <v>99</v>
      </c>
      <c r="W224">
        <v>432</v>
      </c>
      <c r="X224">
        <v>398</v>
      </c>
      <c r="Y224">
        <v>338</v>
      </c>
      <c r="Z224">
        <f t="shared" si="30"/>
        <v>296</v>
      </c>
      <c r="AA224">
        <v>253</v>
      </c>
      <c r="AB224">
        <f t="shared" si="31"/>
        <v>176</v>
      </c>
      <c r="AC224">
        <v>99</v>
      </c>
    </row>
    <row r="225" spans="1:29" x14ac:dyDescent="0.25">
      <c r="A225" t="s">
        <v>233</v>
      </c>
      <c r="B225">
        <v>513</v>
      </c>
      <c r="C225">
        <v>464</v>
      </c>
      <c r="D225">
        <v>388</v>
      </c>
      <c r="E225">
        <f t="shared" si="24"/>
        <v>335</v>
      </c>
      <c r="F225">
        <v>281</v>
      </c>
      <c r="G225">
        <f t="shared" si="25"/>
        <v>192</v>
      </c>
      <c r="H225">
        <v>102</v>
      </c>
      <c r="I225">
        <v>513</v>
      </c>
      <c r="J225">
        <v>464</v>
      </c>
      <c r="K225">
        <v>388</v>
      </c>
      <c r="L225">
        <f t="shared" si="26"/>
        <v>335</v>
      </c>
      <c r="M225">
        <v>281</v>
      </c>
      <c r="N225">
        <f t="shared" si="27"/>
        <v>192</v>
      </c>
      <c r="O225">
        <v>102</v>
      </c>
      <c r="P225">
        <v>385</v>
      </c>
      <c r="Q225">
        <v>355</v>
      </c>
      <c r="R225">
        <v>304</v>
      </c>
      <c r="S225">
        <f t="shared" si="28"/>
        <v>266</v>
      </c>
      <c r="T225">
        <v>228</v>
      </c>
      <c r="U225">
        <f t="shared" si="29"/>
        <v>159</v>
      </c>
      <c r="V225">
        <v>89</v>
      </c>
      <c r="W225">
        <v>385</v>
      </c>
      <c r="X225">
        <v>355</v>
      </c>
      <c r="Y225">
        <v>304</v>
      </c>
      <c r="Z225">
        <f t="shared" si="30"/>
        <v>266</v>
      </c>
      <c r="AA225">
        <v>228</v>
      </c>
      <c r="AB225">
        <f t="shared" si="31"/>
        <v>159</v>
      </c>
      <c r="AC225">
        <v>89</v>
      </c>
    </row>
    <row r="226" spans="1:29" x14ac:dyDescent="0.25">
      <c r="A226" t="s">
        <v>234</v>
      </c>
      <c r="B226">
        <v>446</v>
      </c>
      <c r="C226">
        <v>406</v>
      </c>
      <c r="D226">
        <v>342</v>
      </c>
      <c r="E226">
        <f t="shared" si="24"/>
        <v>296</v>
      </c>
      <c r="F226">
        <v>250</v>
      </c>
      <c r="G226">
        <f t="shared" si="25"/>
        <v>171</v>
      </c>
      <c r="H226">
        <v>91</v>
      </c>
      <c r="I226">
        <v>446</v>
      </c>
      <c r="J226">
        <v>406</v>
      </c>
      <c r="K226">
        <v>342</v>
      </c>
      <c r="L226">
        <f t="shared" si="26"/>
        <v>296</v>
      </c>
      <c r="M226">
        <v>250</v>
      </c>
      <c r="N226">
        <f t="shared" si="27"/>
        <v>171</v>
      </c>
      <c r="O226">
        <v>91</v>
      </c>
      <c r="P226">
        <v>334</v>
      </c>
      <c r="Q226">
        <v>311</v>
      </c>
      <c r="R226">
        <v>268</v>
      </c>
      <c r="S226">
        <f t="shared" si="28"/>
        <v>236</v>
      </c>
      <c r="T226">
        <v>203</v>
      </c>
      <c r="U226">
        <f t="shared" si="29"/>
        <v>141</v>
      </c>
      <c r="V226">
        <v>79</v>
      </c>
      <c r="W226">
        <v>334</v>
      </c>
      <c r="X226">
        <v>311</v>
      </c>
      <c r="Y226">
        <v>268</v>
      </c>
      <c r="Z226">
        <f t="shared" si="30"/>
        <v>236</v>
      </c>
      <c r="AA226">
        <v>203</v>
      </c>
      <c r="AB226">
        <f t="shared" si="31"/>
        <v>141</v>
      </c>
      <c r="AC226">
        <v>79</v>
      </c>
    </row>
    <row r="227" spans="1:29" x14ac:dyDescent="0.25">
      <c r="A227" t="s">
        <v>235</v>
      </c>
      <c r="B227">
        <v>739</v>
      </c>
      <c r="C227">
        <v>655</v>
      </c>
      <c r="D227">
        <v>535</v>
      </c>
      <c r="E227">
        <f t="shared" si="24"/>
        <v>453</v>
      </c>
      <c r="F227">
        <v>371</v>
      </c>
      <c r="G227">
        <f t="shared" si="25"/>
        <v>254</v>
      </c>
      <c r="H227">
        <v>136</v>
      </c>
      <c r="I227">
        <v>739</v>
      </c>
      <c r="J227">
        <v>655</v>
      </c>
      <c r="K227">
        <v>535</v>
      </c>
      <c r="L227">
        <f t="shared" si="26"/>
        <v>453</v>
      </c>
      <c r="M227">
        <v>371</v>
      </c>
      <c r="N227">
        <f t="shared" si="27"/>
        <v>254</v>
      </c>
      <c r="O227">
        <v>136</v>
      </c>
      <c r="P227">
        <v>554</v>
      </c>
      <c r="Q227">
        <v>501</v>
      </c>
      <c r="R227">
        <v>419</v>
      </c>
      <c r="S227">
        <f t="shared" si="28"/>
        <v>360</v>
      </c>
      <c r="T227">
        <v>301</v>
      </c>
      <c r="U227">
        <f t="shared" si="29"/>
        <v>210</v>
      </c>
      <c r="V227">
        <v>118</v>
      </c>
      <c r="W227">
        <v>554</v>
      </c>
      <c r="X227">
        <v>501</v>
      </c>
      <c r="Y227">
        <v>419</v>
      </c>
      <c r="Z227">
        <f t="shared" si="30"/>
        <v>360</v>
      </c>
      <c r="AA227">
        <v>301</v>
      </c>
      <c r="AB227">
        <f t="shared" si="31"/>
        <v>210</v>
      </c>
      <c r="AC227">
        <v>118</v>
      </c>
    </row>
    <row r="228" spans="1:29" x14ac:dyDescent="0.25">
      <c r="A228" t="s">
        <v>236</v>
      </c>
      <c r="B228">
        <v>682</v>
      </c>
      <c r="C228">
        <v>609</v>
      </c>
      <c r="D228">
        <v>500</v>
      </c>
      <c r="E228">
        <f t="shared" si="24"/>
        <v>425</v>
      </c>
      <c r="F228">
        <v>350</v>
      </c>
      <c r="G228">
        <f t="shared" si="25"/>
        <v>239</v>
      </c>
      <c r="H228">
        <v>128</v>
      </c>
      <c r="I228">
        <v>682</v>
      </c>
      <c r="J228">
        <v>609</v>
      </c>
      <c r="K228">
        <v>500</v>
      </c>
      <c r="L228">
        <f t="shared" si="26"/>
        <v>425</v>
      </c>
      <c r="M228">
        <v>350</v>
      </c>
      <c r="N228">
        <f t="shared" si="27"/>
        <v>239</v>
      </c>
      <c r="O228">
        <v>128</v>
      </c>
      <c r="P228">
        <v>512</v>
      </c>
      <c r="Q228">
        <v>466</v>
      </c>
      <c r="R228">
        <v>392</v>
      </c>
      <c r="S228">
        <f t="shared" si="28"/>
        <v>338</v>
      </c>
      <c r="T228">
        <v>284</v>
      </c>
      <c r="U228">
        <f t="shared" si="29"/>
        <v>198</v>
      </c>
      <c r="V228">
        <v>112</v>
      </c>
      <c r="W228">
        <v>512</v>
      </c>
      <c r="X228">
        <v>466</v>
      </c>
      <c r="Y228">
        <v>392</v>
      </c>
      <c r="Z228">
        <f t="shared" si="30"/>
        <v>338</v>
      </c>
      <c r="AA228">
        <v>284</v>
      </c>
      <c r="AB228">
        <f t="shared" si="31"/>
        <v>198</v>
      </c>
      <c r="AC228">
        <v>112</v>
      </c>
    </row>
    <row r="229" spans="1:29" x14ac:dyDescent="0.25">
      <c r="A229" t="s">
        <v>237</v>
      </c>
      <c r="B229">
        <v>627</v>
      </c>
      <c r="C229">
        <v>562</v>
      </c>
      <c r="D229">
        <v>464</v>
      </c>
      <c r="E229">
        <f t="shared" si="24"/>
        <v>398</v>
      </c>
      <c r="F229">
        <v>331</v>
      </c>
      <c r="G229">
        <f t="shared" si="25"/>
        <v>227</v>
      </c>
      <c r="H229">
        <v>122</v>
      </c>
      <c r="I229">
        <v>627</v>
      </c>
      <c r="J229">
        <v>562</v>
      </c>
      <c r="K229">
        <v>464</v>
      </c>
      <c r="L229">
        <f t="shared" si="26"/>
        <v>398</v>
      </c>
      <c r="M229">
        <v>331</v>
      </c>
      <c r="N229">
        <f t="shared" si="27"/>
        <v>227</v>
      </c>
      <c r="O229">
        <v>122</v>
      </c>
      <c r="P229">
        <v>470</v>
      </c>
      <c r="Q229">
        <v>430</v>
      </c>
      <c r="R229">
        <v>363</v>
      </c>
      <c r="S229">
        <f t="shared" si="28"/>
        <v>316</v>
      </c>
      <c r="T229">
        <v>269</v>
      </c>
      <c r="U229">
        <f t="shared" si="29"/>
        <v>188</v>
      </c>
      <c r="V229">
        <v>106</v>
      </c>
      <c r="W229">
        <v>470</v>
      </c>
      <c r="X229">
        <v>430</v>
      </c>
      <c r="Y229">
        <v>363</v>
      </c>
      <c r="Z229">
        <f t="shared" si="30"/>
        <v>316</v>
      </c>
      <c r="AA229">
        <v>269</v>
      </c>
      <c r="AB229">
        <f t="shared" si="31"/>
        <v>188</v>
      </c>
      <c r="AC229">
        <v>106</v>
      </c>
    </row>
    <row r="230" spans="1:29" x14ac:dyDescent="0.25">
      <c r="A230" t="s">
        <v>238</v>
      </c>
      <c r="B230">
        <v>569</v>
      </c>
      <c r="C230">
        <v>513</v>
      </c>
      <c r="D230">
        <v>426</v>
      </c>
      <c r="E230">
        <f t="shared" si="24"/>
        <v>367</v>
      </c>
      <c r="F230">
        <v>307</v>
      </c>
      <c r="G230">
        <f t="shared" si="25"/>
        <v>210</v>
      </c>
      <c r="H230">
        <v>113</v>
      </c>
      <c r="I230">
        <v>569</v>
      </c>
      <c r="J230">
        <v>513</v>
      </c>
      <c r="K230">
        <v>426</v>
      </c>
      <c r="L230">
        <f t="shared" si="26"/>
        <v>367</v>
      </c>
      <c r="M230">
        <v>307</v>
      </c>
      <c r="N230">
        <f t="shared" si="27"/>
        <v>210</v>
      </c>
      <c r="O230">
        <v>113</v>
      </c>
      <c r="P230">
        <v>427</v>
      </c>
      <c r="Q230">
        <v>392</v>
      </c>
      <c r="R230">
        <v>333</v>
      </c>
      <c r="S230">
        <f t="shared" si="28"/>
        <v>292</v>
      </c>
      <c r="T230">
        <v>250</v>
      </c>
      <c r="U230">
        <f t="shared" si="29"/>
        <v>175</v>
      </c>
      <c r="V230">
        <v>99</v>
      </c>
      <c r="W230">
        <v>427</v>
      </c>
      <c r="X230">
        <v>392</v>
      </c>
      <c r="Y230">
        <v>333</v>
      </c>
      <c r="Z230">
        <f t="shared" si="30"/>
        <v>292</v>
      </c>
      <c r="AA230">
        <v>250</v>
      </c>
      <c r="AB230">
        <f t="shared" si="31"/>
        <v>175</v>
      </c>
      <c r="AC230">
        <v>99</v>
      </c>
    </row>
    <row r="231" spans="1:29" x14ac:dyDescent="0.25">
      <c r="A231" t="s">
        <v>239</v>
      </c>
      <c r="B231">
        <v>508</v>
      </c>
      <c r="C231">
        <v>460</v>
      </c>
      <c r="D231">
        <v>385</v>
      </c>
      <c r="E231">
        <f t="shared" si="24"/>
        <v>332</v>
      </c>
      <c r="F231">
        <v>278</v>
      </c>
      <c r="G231">
        <f t="shared" si="25"/>
        <v>190</v>
      </c>
      <c r="H231">
        <v>102</v>
      </c>
      <c r="I231">
        <v>508</v>
      </c>
      <c r="J231">
        <v>460</v>
      </c>
      <c r="K231">
        <v>385</v>
      </c>
      <c r="L231">
        <f t="shared" si="26"/>
        <v>332</v>
      </c>
      <c r="M231">
        <v>278</v>
      </c>
      <c r="N231">
        <f t="shared" si="27"/>
        <v>190</v>
      </c>
      <c r="O231">
        <v>102</v>
      </c>
      <c r="P231">
        <v>381</v>
      </c>
      <c r="Q231">
        <v>352</v>
      </c>
      <c r="R231">
        <v>301</v>
      </c>
      <c r="S231">
        <f t="shared" si="28"/>
        <v>264</v>
      </c>
      <c r="T231">
        <v>226</v>
      </c>
      <c r="U231">
        <f t="shared" si="29"/>
        <v>158</v>
      </c>
      <c r="V231">
        <v>89</v>
      </c>
      <c r="W231">
        <v>381</v>
      </c>
      <c r="X231">
        <v>352</v>
      </c>
      <c r="Y231">
        <v>301</v>
      </c>
      <c r="Z231">
        <f t="shared" si="30"/>
        <v>264</v>
      </c>
      <c r="AA231">
        <v>226</v>
      </c>
      <c r="AB231">
        <f t="shared" si="31"/>
        <v>158</v>
      </c>
      <c r="AC231">
        <v>89</v>
      </c>
    </row>
    <row r="232" spans="1:29" x14ac:dyDescent="0.25">
      <c r="A232" t="s">
        <v>240</v>
      </c>
      <c r="B232">
        <v>442</v>
      </c>
      <c r="C232">
        <v>402</v>
      </c>
      <c r="D232">
        <v>340</v>
      </c>
      <c r="E232">
        <f t="shared" si="24"/>
        <v>294</v>
      </c>
      <c r="F232">
        <v>247</v>
      </c>
      <c r="G232">
        <f t="shared" si="25"/>
        <v>169</v>
      </c>
      <c r="H232">
        <v>91</v>
      </c>
      <c r="I232">
        <v>442</v>
      </c>
      <c r="J232">
        <v>402</v>
      </c>
      <c r="K232">
        <v>340</v>
      </c>
      <c r="L232">
        <f t="shared" si="26"/>
        <v>294</v>
      </c>
      <c r="M232">
        <v>247</v>
      </c>
      <c r="N232">
        <f t="shared" si="27"/>
        <v>169</v>
      </c>
      <c r="O232">
        <v>91</v>
      </c>
      <c r="P232">
        <v>331</v>
      </c>
      <c r="Q232">
        <v>308</v>
      </c>
      <c r="R232">
        <v>266</v>
      </c>
      <c r="S232">
        <f t="shared" si="28"/>
        <v>234</v>
      </c>
      <c r="T232">
        <v>201</v>
      </c>
      <c r="U232">
        <f t="shared" si="29"/>
        <v>140</v>
      </c>
      <c r="V232">
        <v>79</v>
      </c>
      <c r="W232">
        <v>331</v>
      </c>
      <c r="X232">
        <v>308</v>
      </c>
      <c r="Y232">
        <v>266</v>
      </c>
      <c r="Z232">
        <f t="shared" si="30"/>
        <v>234</v>
      </c>
      <c r="AA232">
        <v>201</v>
      </c>
      <c r="AB232">
        <f t="shared" si="31"/>
        <v>140</v>
      </c>
      <c r="AC232">
        <v>79</v>
      </c>
    </row>
    <row r="233" spans="1:29" x14ac:dyDescent="0.25">
      <c r="A233" t="s">
        <v>241</v>
      </c>
      <c r="B233">
        <v>380</v>
      </c>
      <c r="C233">
        <v>341</v>
      </c>
      <c r="D233">
        <v>290</v>
      </c>
      <c r="E233">
        <f t="shared" si="24"/>
        <v>252</v>
      </c>
      <c r="F233">
        <v>213</v>
      </c>
      <c r="G233">
        <f t="shared" si="25"/>
        <v>146</v>
      </c>
      <c r="H233">
        <v>79</v>
      </c>
      <c r="I233">
        <v>380</v>
      </c>
      <c r="J233">
        <v>341</v>
      </c>
      <c r="K233">
        <v>290</v>
      </c>
      <c r="L233">
        <f t="shared" si="26"/>
        <v>252</v>
      </c>
      <c r="M233">
        <v>213</v>
      </c>
      <c r="N233">
        <f t="shared" si="27"/>
        <v>146</v>
      </c>
      <c r="O233">
        <v>79</v>
      </c>
      <c r="P233">
        <v>285</v>
      </c>
      <c r="Q233">
        <v>261</v>
      </c>
      <c r="R233">
        <v>227</v>
      </c>
      <c r="S233">
        <f t="shared" si="28"/>
        <v>200</v>
      </c>
      <c r="T233">
        <v>173</v>
      </c>
      <c r="U233">
        <f t="shared" si="29"/>
        <v>121</v>
      </c>
      <c r="V233">
        <v>69</v>
      </c>
      <c r="W233">
        <v>285</v>
      </c>
      <c r="X233">
        <v>261</v>
      </c>
      <c r="Y233">
        <v>227</v>
      </c>
      <c r="Z233">
        <f t="shared" si="30"/>
        <v>200</v>
      </c>
      <c r="AA233">
        <v>173</v>
      </c>
      <c r="AB233">
        <f t="shared" si="31"/>
        <v>121</v>
      </c>
      <c r="AC233">
        <v>69</v>
      </c>
    </row>
    <row r="234" spans="1:29" x14ac:dyDescent="0.25">
      <c r="A234" t="s">
        <v>242</v>
      </c>
      <c r="B234">
        <v>675</v>
      </c>
      <c r="C234">
        <v>601</v>
      </c>
      <c r="D234">
        <v>493</v>
      </c>
      <c r="E234">
        <f t="shared" si="24"/>
        <v>419</v>
      </c>
      <c r="F234">
        <v>345</v>
      </c>
      <c r="G234">
        <f t="shared" si="25"/>
        <v>236</v>
      </c>
      <c r="H234">
        <v>126</v>
      </c>
      <c r="I234">
        <v>675</v>
      </c>
      <c r="J234">
        <v>601</v>
      </c>
      <c r="K234">
        <v>493</v>
      </c>
      <c r="L234">
        <f t="shared" si="26"/>
        <v>419</v>
      </c>
      <c r="M234">
        <v>345</v>
      </c>
      <c r="N234">
        <f t="shared" si="27"/>
        <v>236</v>
      </c>
      <c r="O234">
        <v>126</v>
      </c>
      <c r="P234">
        <v>506</v>
      </c>
      <c r="Q234">
        <v>460</v>
      </c>
      <c r="R234">
        <v>386</v>
      </c>
      <c r="S234">
        <f t="shared" si="28"/>
        <v>333</v>
      </c>
      <c r="T234">
        <v>280</v>
      </c>
      <c r="U234">
        <f t="shared" si="29"/>
        <v>195</v>
      </c>
      <c r="V234">
        <v>109</v>
      </c>
      <c r="W234">
        <v>506</v>
      </c>
      <c r="X234">
        <v>460</v>
      </c>
      <c r="Y234">
        <v>386</v>
      </c>
      <c r="Z234">
        <f t="shared" si="30"/>
        <v>333</v>
      </c>
      <c r="AA234">
        <v>280</v>
      </c>
      <c r="AB234">
        <f t="shared" si="31"/>
        <v>195</v>
      </c>
      <c r="AC234">
        <v>109</v>
      </c>
    </row>
    <row r="235" spans="1:29" x14ac:dyDescent="0.25">
      <c r="A235" t="s">
        <v>243</v>
      </c>
      <c r="B235">
        <v>618</v>
      </c>
      <c r="C235">
        <v>552</v>
      </c>
      <c r="D235">
        <v>456</v>
      </c>
      <c r="E235">
        <f t="shared" si="24"/>
        <v>391</v>
      </c>
      <c r="F235">
        <v>326</v>
      </c>
      <c r="G235">
        <f t="shared" si="25"/>
        <v>223</v>
      </c>
      <c r="H235">
        <v>120</v>
      </c>
      <c r="I235">
        <v>618</v>
      </c>
      <c r="J235">
        <v>552</v>
      </c>
      <c r="K235">
        <v>456</v>
      </c>
      <c r="L235">
        <f t="shared" si="26"/>
        <v>391</v>
      </c>
      <c r="M235">
        <v>326</v>
      </c>
      <c r="N235">
        <f t="shared" si="27"/>
        <v>223</v>
      </c>
      <c r="O235">
        <v>120</v>
      </c>
      <c r="P235">
        <v>463</v>
      </c>
      <c r="Q235">
        <v>423</v>
      </c>
      <c r="R235">
        <v>357</v>
      </c>
      <c r="S235">
        <f t="shared" si="28"/>
        <v>311</v>
      </c>
      <c r="T235">
        <v>265</v>
      </c>
      <c r="U235">
        <f t="shared" si="29"/>
        <v>185</v>
      </c>
      <c r="V235">
        <v>104</v>
      </c>
      <c r="W235">
        <v>463</v>
      </c>
      <c r="X235">
        <v>423</v>
      </c>
      <c r="Y235">
        <v>357</v>
      </c>
      <c r="Z235">
        <f t="shared" si="30"/>
        <v>311</v>
      </c>
      <c r="AA235">
        <v>265</v>
      </c>
      <c r="AB235">
        <f t="shared" si="31"/>
        <v>185</v>
      </c>
      <c r="AC235">
        <v>104</v>
      </c>
    </row>
    <row r="236" spans="1:29" x14ac:dyDescent="0.25">
      <c r="A236" t="s">
        <v>244</v>
      </c>
      <c r="B236">
        <v>561</v>
      </c>
      <c r="C236">
        <v>505</v>
      </c>
      <c r="D236">
        <v>419</v>
      </c>
      <c r="E236">
        <f t="shared" si="24"/>
        <v>360</v>
      </c>
      <c r="F236">
        <v>301</v>
      </c>
      <c r="G236">
        <f t="shared" si="25"/>
        <v>206</v>
      </c>
      <c r="H236">
        <v>111</v>
      </c>
      <c r="I236">
        <v>561</v>
      </c>
      <c r="J236">
        <v>505</v>
      </c>
      <c r="K236">
        <v>419</v>
      </c>
      <c r="L236">
        <f t="shared" si="26"/>
        <v>360</v>
      </c>
      <c r="M236">
        <v>301</v>
      </c>
      <c r="N236">
        <f t="shared" si="27"/>
        <v>206</v>
      </c>
      <c r="O236">
        <v>111</v>
      </c>
      <c r="P236">
        <v>421</v>
      </c>
      <c r="Q236">
        <v>386</v>
      </c>
      <c r="R236">
        <v>328</v>
      </c>
      <c r="S236">
        <f t="shared" si="28"/>
        <v>286</v>
      </c>
      <c r="T236">
        <v>244</v>
      </c>
      <c r="U236">
        <f t="shared" si="29"/>
        <v>171</v>
      </c>
      <c r="V236">
        <v>97</v>
      </c>
      <c r="W236">
        <v>421</v>
      </c>
      <c r="X236">
        <v>386</v>
      </c>
      <c r="Y236">
        <v>328</v>
      </c>
      <c r="Z236">
        <f t="shared" si="30"/>
        <v>286</v>
      </c>
      <c r="AA236">
        <v>244</v>
      </c>
      <c r="AB236">
        <f t="shared" si="31"/>
        <v>171</v>
      </c>
      <c r="AC236">
        <v>97</v>
      </c>
    </row>
    <row r="237" spans="1:29" x14ac:dyDescent="0.25">
      <c r="A237" t="s">
        <v>245</v>
      </c>
      <c r="B237">
        <v>503</v>
      </c>
      <c r="C237">
        <v>455</v>
      </c>
      <c r="D237">
        <v>380</v>
      </c>
      <c r="E237">
        <f t="shared" si="24"/>
        <v>328</v>
      </c>
      <c r="F237">
        <v>276</v>
      </c>
      <c r="G237">
        <f t="shared" si="25"/>
        <v>189</v>
      </c>
      <c r="H237">
        <v>102</v>
      </c>
      <c r="I237">
        <v>503</v>
      </c>
      <c r="J237">
        <v>455</v>
      </c>
      <c r="K237">
        <v>380</v>
      </c>
      <c r="L237">
        <f t="shared" si="26"/>
        <v>328</v>
      </c>
      <c r="M237">
        <v>276</v>
      </c>
      <c r="N237">
        <f t="shared" si="27"/>
        <v>189</v>
      </c>
      <c r="O237">
        <v>102</v>
      </c>
      <c r="P237">
        <v>377</v>
      </c>
      <c r="Q237">
        <v>348</v>
      </c>
      <c r="R237">
        <v>297</v>
      </c>
      <c r="S237">
        <f t="shared" si="28"/>
        <v>261</v>
      </c>
      <c r="T237">
        <v>224</v>
      </c>
      <c r="U237">
        <f t="shared" si="29"/>
        <v>157</v>
      </c>
      <c r="V237">
        <v>89</v>
      </c>
      <c r="W237">
        <v>377</v>
      </c>
      <c r="X237">
        <v>348</v>
      </c>
      <c r="Y237">
        <v>297</v>
      </c>
      <c r="Z237">
        <f t="shared" si="30"/>
        <v>261</v>
      </c>
      <c r="AA237">
        <v>224</v>
      </c>
      <c r="AB237">
        <f t="shared" si="31"/>
        <v>157</v>
      </c>
      <c r="AC237">
        <v>89</v>
      </c>
    </row>
    <row r="238" spans="1:29" x14ac:dyDescent="0.25">
      <c r="A238" t="s">
        <v>246</v>
      </c>
      <c r="B238">
        <v>437</v>
      </c>
      <c r="C238">
        <v>398</v>
      </c>
      <c r="D238">
        <v>335</v>
      </c>
      <c r="E238">
        <f t="shared" si="24"/>
        <v>290</v>
      </c>
      <c r="F238">
        <v>244</v>
      </c>
      <c r="G238">
        <f t="shared" si="25"/>
        <v>167</v>
      </c>
      <c r="H238">
        <v>90</v>
      </c>
      <c r="I238">
        <v>437</v>
      </c>
      <c r="J238">
        <v>398</v>
      </c>
      <c r="K238">
        <v>335</v>
      </c>
      <c r="L238">
        <f t="shared" si="26"/>
        <v>290</v>
      </c>
      <c r="M238">
        <v>244</v>
      </c>
      <c r="N238">
        <f t="shared" si="27"/>
        <v>167</v>
      </c>
      <c r="O238">
        <v>90</v>
      </c>
      <c r="P238">
        <v>328</v>
      </c>
      <c r="Q238">
        <v>304</v>
      </c>
      <c r="R238">
        <v>262</v>
      </c>
      <c r="S238">
        <f t="shared" si="28"/>
        <v>231</v>
      </c>
      <c r="T238">
        <v>199</v>
      </c>
      <c r="U238">
        <f t="shared" si="29"/>
        <v>139</v>
      </c>
      <c r="V238">
        <v>78</v>
      </c>
      <c r="W238">
        <v>328</v>
      </c>
      <c r="X238">
        <v>304</v>
      </c>
      <c r="Y238">
        <v>262</v>
      </c>
      <c r="Z238">
        <f t="shared" si="30"/>
        <v>231</v>
      </c>
      <c r="AA238">
        <v>199</v>
      </c>
      <c r="AB238">
        <f t="shared" si="31"/>
        <v>139</v>
      </c>
      <c r="AC238">
        <v>78</v>
      </c>
    </row>
    <row r="239" spans="1:29" x14ac:dyDescent="0.25">
      <c r="A239" t="s">
        <v>247</v>
      </c>
      <c r="B239">
        <v>609</v>
      </c>
      <c r="C239">
        <v>545</v>
      </c>
      <c r="D239">
        <v>449</v>
      </c>
      <c r="E239">
        <f t="shared" si="24"/>
        <v>385</v>
      </c>
      <c r="F239">
        <v>320</v>
      </c>
      <c r="G239">
        <f t="shared" si="25"/>
        <v>219</v>
      </c>
      <c r="H239">
        <v>117</v>
      </c>
      <c r="I239">
        <v>609</v>
      </c>
      <c r="J239">
        <v>545</v>
      </c>
      <c r="K239">
        <v>449</v>
      </c>
      <c r="L239">
        <f t="shared" si="26"/>
        <v>385</v>
      </c>
      <c r="M239">
        <v>320</v>
      </c>
      <c r="N239">
        <f t="shared" si="27"/>
        <v>219</v>
      </c>
      <c r="O239">
        <v>117</v>
      </c>
      <c r="P239">
        <v>457</v>
      </c>
      <c r="Q239">
        <v>417</v>
      </c>
      <c r="R239">
        <v>351</v>
      </c>
      <c r="S239">
        <f t="shared" si="28"/>
        <v>306</v>
      </c>
      <c r="T239">
        <v>260</v>
      </c>
      <c r="U239">
        <f t="shared" si="29"/>
        <v>181</v>
      </c>
      <c r="V239">
        <v>102</v>
      </c>
      <c r="W239">
        <v>457</v>
      </c>
      <c r="X239">
        <v>417</v>
      </c>
      <c r="Y239">
        <v>351</v>
      </c>
      <c r="Z239">
        <f t="shared" si="30"/>
        <v>306</v>
      </c>
      <c r="AA239">
        <v>260</v>
      </c>
      <c r="AB239">
        <f t="shared" si="31"/>
        <v>181</v>
      </c>
      <c r="AC239">
        <v>102</v>
      </c>
    </row>
    <row r="240" spans="1:29" x14ac:dyDescent="0.25">
      <c r="A240" t="s">
        <v>248</v>
      </c>
      <c r="B240">
        <v>552</v>
      </c>
      <c r="C240">
        <v>496</v>
      </c>
      <c r="D240">
        <v>411</v>
      </c>
      <c r="E240">
        <f t="shared" si="24"/>
        <v>354</v>
      </c>
      <c r="F240">
        <v>296</v>
      </c>
      <c r="G240">
        <f t="shared" si="25"/>
        <v>203</v>
      </c>
      <c r="H240">
        <v>109</v>
      </c>
      <c r="I240">
        <v>552</v>
      </c>
      <c r="J240">
        <v>496</v>
      </c>
      <c r="K240">
        <v>411</v>
      </c>
      <c r="L240">
        <f t="shared" si="26"/>
        <v>354</v>
      </c>
      <c r="M240">
        <v>296</v>
      </c>
      <c r="N240">
        <f t="shared" si="27"/>
        <v>203</v>
      </c>
      <c r="O240">
        <v>109</v>
      </c>
      <c r="P240">
        <v>414</v>
      </c>
      <c r="Q240">
        <v>379</v>
      </c>
      <c r="R240">
        <v>322</v>
      </c>
      <c r="S240">
        <f t="shared" si="28"/>
        <v>281</v>
      </c>
      <c r="T240">
        <v>240</v>
      </c>
      <c r="U240">
        <f t="shared" si="29"/>
        <v>168</v>
      </c>
      <c r="V240">
        <v>95</v>
      </c>
      <c r="W240">
        <v>414</v>
      </c>
      <c r="X240">
        <v>379</v>
      </c>
      <c r="Y240">
        <v>322</v>
      </c>
      <c r="Z240">
        <f t="shared" si="30"/>
        <v>281</v>
      </c>
      <c r="AA240">
        <v>240</v>
      </c>
      <c r="AB240">
        <f t="shared" si="31"/>
        <v>168</v>
      </c>
      <c r="AC240">
        <v>95</v>
      </c>
    </row>
    <row r="241" spans="1:29" x14ac:dyDescent="0.25">
      <c r="A241" t="s">
        <v>249</v>
      </c>
      <c r="B241">
        <v>494</v>
      </c>
      <c r="C241">
        <v>447</v>
      </c>
      <c r="D241">
        <v>372</v>
      </c>
      <c r="E241">
        <f t="shared" si="24"/>
        <v>322</v>
      </c>
      <c r="F241">
        <v>271</v>
      </c>
      <c r="G241">
        <f t="shared" si="25"/>
        <v>186</v>
      </c>
      <c r="H241">
        <v>101</v>
      </c>
      <c r="I241">
        <v>494</v>
      </c>
      <c r="J241">
        <v>447</v>
      </c>
      <c r="K241">
        <v>372</v>
      </c>
      <c r="L241">
        <f t="shared" si="26"/>
        <v>322</v>
      </c>
      <c r="M241">
        <v>271</v>
      </c>
      <c r="N241">
        <f t="shared" si="27"/>
        <v>186</v>
      </c>
      <c r="O241">
        <v>101</v>
      </c>
      <c r="P241">
        <v>370</v>
      </c>
      <c r="Q241">
        <v>342</v>
      </c>
      <c r="R241">
        <v>291</v>
      </c>
      <c r="S241">
        <f t="shared" si="28"/>
        <v>256</v>
      </c>
      <c r="T241">
        <v>220</v>
      </c>
      <c r="U241">
        <f t="shared" si="29"/>
        <v>154</v>
      </c>
      <c r="V241">
        <v>88</v>
      </c>
      <c r="W241">
        <v>370</v>
      </c>
      <c r="X241">
        <v>342</v>
      </c>
      <c r="Y241">
        <v>291</v>
      </c>
      <c r="Z241">
        <f t="shared" si="30"/>
        <v>256</v>
      </c>
      <c r="AA241">
        <v>220</v>
      </c>
      <c r="AB241">
        <f t="shared" si="31"/>
        <v>154</v>
      </c>
      <c r="AC241">
        <v>88</v>
      </c>
    </row>
    <row r="242" spans="1:29" x14ac:dyDescent="0.25">
      <c r="A242" t="s">
        <v>250</v>
      </c>
      <c r="B242">
        <v>431</v>
      </c>
      <c r="C242">
        <v>393</v>
      </c>
      <c r="D242">
        <v>331</v>
      </c>
      <c r="E242">
        <f t="shared" si="24"/>
        <v>287</v>
      </c>
      <c r="F242">
        <v>242</v>
      </c>
      <c r="G242">
        <f t="shared" si="25"/>
        <v>166</v>
      </c>
      <c r="H242">
        <v>90</v>
      </c>
      <c r="I242">
        <v>431</v>
      </c>
      <c r="J242">
        <v>393</v>
      </c>
      <c r="K242">
        <v>331</v>
      </c>
      <c r="L242">
        <f t="shared" si="26"/>
        <v>287</v>
      </c>
      <c r="M242">
        <v>242</v>
      </c>
      <c r="N242">
        <f t="shared" si="27"/>
        <v>166</v>
      </c>
      <c r="O242">
        <v>90</v>
      </c>
      <c r="P242">
        <v>323</v>
      </c>
      <c r="Q242">
        <v>301</v>
      </c>
      <c r="R242">
        <v>259</v>
      </c>
      <c r="S242">
        <f t="shared" si="28"/>
        <v>228</v>
      </c>
      <c r="T242">
        <v>197</v>
      </c>
      <c r="U242">
        <f t="shared" si="29"/>
        <v>138</v>
      </c>
      <c r="V242">
        <v>78</v>
      </c>
      <c r="W242">
        <v>323</v>
      </c>
      <c r="X242">
        <v>301</v>
      </c>
      <c r="Y242">
        <v>259</v>
      </c>
      <c r="Z242">
        <f t="shared" si="30"/>
        <v>228</v>
      </c>
      <c r="AA242">
        <v>197</v>
      </c>
      <c r="AB242">
        <f t="shared" si="31"/>
        <v>138</v>
      </c>
      <c r="AC242">
        <v>78</v>
      </c>
    </row>
    <row r="243" spans="1:29" x14ac:dyDescent="0.25">
      <c r="A243" t="s">
        <v>251</v>
      </c>
      <c r="B243">
        <v>543</v>
      </c>
      <c r="C243">
        <v>486</v>
      </c>
      <c r="D243">
        <v>404</v>
      </c>
      <c r="E243">
        <f t="shared" si="24"/>
        <v>347</v>
      </c>
      <c r="F243">
        <v>290</v>
      </c>
      <c r="G243">
        <f t="shared" si="25"/>
        <v>199</v>
      </c>
      <c r="H243">
        <v>107</v>
      </c>
      <c r="I243">
        <v>543</v>
      </c>
      <c r="J243">
        <v>486</v>
      </c>
      <c r="K243">
        <v>404</v>
      </c>
      <c r="L243">
        <f t="shared" si="26"/>
        <v>347</v>
      </c>
      <c r="M243">
        <v>290</v>
      </c>
      <c r="N243">
        <f t="shared" si="27"/>
        <v>199</v>
      </c>
      <c r="O243">
        <v>107</v>
      </c>
      <c r="P243">
        <v>407</v>
      </c>
      <c r="Q243">
        <v>372</v>
      </c>
      <c r="R243">
        <v>316</v>
      </c>
      <c r="S243">
        <f t="shared" si="28"/>
        <v>276</v>
      </c>
      <c r="T243">
        <v>235</v>
      </c>
      <c r="U243">
        <f t="shared" si="29"/>
        <v>164</v>
      </c>
      <c r="V243">
        <v>93</v>
      </c>
      <c r="W243">
        <v>407</v>
      </c>
      <c r="X243">
        <v>372</v>
      </c>
      <c r="Y243">
        <v>316</v>
      </c>
      <c r="Z243">
        <f t="shared" si="30"/>
        <v>276</v>
      </c>
      <c r="AA243">
        <v>235</v>
      </c>
      <c r="AB243">
        <f t="shared" si="31"/>
        <v>164</v>
      </c>
      <c r="AC243">
        <v>93</v>
      </c>
    </row>
    <row r="244" spans="1:29" x14ac:dyDescent="0.25">
      <c r="A244" t="s">
        <v>252</v>
      </c>
      <c r="B244">
        <v>484</v>
      </c>
      <c r="C244">
        <v>437</v>
      </c>
      <c r="D244">
        <v>365</v>
      </c>
      <c r="E244">
        <f t="shared" si="24"/>
        <v>315</v>
      </c>
      <c r="F244">
        <v>265</v>
      </c>
      <c r="G244">
        <f t="shared" si="25"/>
        <v>182</v>
      </c>
      <c r="H244">
        <v>98</v>
      </c>
      <c r="I244">
        <v>484</v>
      </c>
      <c r="J244">
        <v>437</v>
      </c>
      <c r="K244">
        <v>365</v>
      </c>
      <c r="L244">
        <f t="shared" si="26"/>
        <v>315</v>
      </c>
      <c r="M244">
        <v>265</v>
      </c>
      <c r="N244">
        <f t="shared" si="27"/>
        <v>182</v>
      </c>
      <c r="O244">
        <v>98</v>
      </c>
      <c r="P244">
        <v>363</v>
      </c>
      <c r="Q244">
        <v>335</v>
      </c>
      <c r="R244">
        <v>286</v>
      </c>
      <c r="S244">
        <f t="shared" si="28"/>
        <v>251</v>
      </c>
      <c r="T244">
        <v>215</v>
      </c>
      <c r="U244">
        <f t="shared" si="29"/>
        <v>151</v>
      </c>
      <c r="V244">
        <v>86</v>
      </c>
      <c r="W244">
        <v>363</v>
      </c>
      <c r="X244">
        <v>335</v>
      </c>
      <c r="Y244">
        <v>286</v>
      </c>
      <c r="Z244">
        <f t="shared" si="30"/>
        <v>251</v>
      </c>
      <c r="AA244">
        <v>215</v>
      </c>
      <c r="AB244">
        <f t="shared" si="31"/>
        <v>151</v>
      </c>
      <c r="AC244">
        <v>86</v>
      </c>
    </row>
    <row r="245" spans="1:29" x14ac:dyDescent="0.25">
      <c r="A245" t="s">
        <v>253</v>
      </c>
      <c r="B245">
        <v>425</v>
      </c>
      <c r="C245">
        <v>385</v>
      </c>
      <c r="D245">
        <v>325</v>
      </c>
      <c r="E245">
        <f t="shared" si="24"/>
        <v>281</v>
      </c>
      <c r="F245">
        <v>237</v>
      </c>
      <c r="G245">
        <f t="shared" si="25"/>
        <v>164</v>
      </c>
      <c r="H245">
        <v>90</v>
      </c>
      <c r="I245">
        <v>425</v>
      </c>
      <c r="J245">
        <v>385</v>
      </c>
      <c r="K245">
        <v>325</v>
      </c>
      <c r="L245">
        <f t="shared" si="26"/>
        <v>281</v>
      </c>
      <c r="M245">
        <v>237</v>
      </c>
      <c r="N245">
        <f t="shared" si="27"/>
        <v>164</v>
      </c>
      <c r="O245">
        <v>90</v>
      </c>
      <c r="P245">
        <v>318</v>
      </c>
      <c r="Q245">
        <v>295</v>
      </c>
      <c r="R245">
        <v>254</v>
      </c>
      <c r="S245">
        <f t="shared" si="28"/>
        <v>224</v>
      </c>
      <c r="T245">
        <v>193</v>
      </c>
      <c r="U245">
        <f t="shared" si="29"/>
        <v>136</v>
      </c>
      <c r="V245">
        <v>78</v>
      </c>
      <c r="W245">
        <v>318</v>
      </c>
      <c r="X245">
        <v>295</v>
      </c>
      <c r="Y245">
        <v>254</v>
      </c>
      <c r="Z245">
        <f t="shared" si="30"/>
        <v>224</v>
      </c>
      <c r="AA245">
        <v>193</v>
      </c>
      <c r="AB245">
        <f t="shared" si="31"/>
        <v>136</v>
      </c>
      <c r="AC245">
        <v>78</v>
      </c>
    </row>
    <row r="246" spans="1:29" x14ac:dyDescent="0.25">
      <c r="A246" t="s">
        <v>254</v>
      </c>
      <c r="B246">
        <v>475</v>
      </c>
      <c r="C246">
        <v>427</v>
      </c>
      <c r="D246">
        <v>357</v>
      </c>
      <c r="E246">
        <f t="shared" si="24"/>
        <v>308</v>
      </c>
      <c r="F246">
        <v>258</v>
      </c>
      <c r="G246">
        <f t="shared" si="25"/>
        <v>177</v>
      </c>
      <c r="H246">
        <v>96</v>
      </c>
      <c r="I246">
        <v>475</v>
      </c>
      <c r="J246">
        <v>427</v>
      </c>
      <c r="K246">
        <v>357</v>
      </c>
      <c r="L246">
        <f t="shared" si="26"/>
        <v>308</v>
      </c>
      <c r="M246">
        <v>258</v>
      </c>
      <c r="N246">
        <f t="shared" si="27"/>
        <v>177</v>
      </c>
      <c r="O246">
        <v>96</v>
      </c>
      <c r="P246">
        <v>356</v>
      </c>
      <c r="Q246">
        <v>327</v>
      </c>
      <c r="R246">
        <v>279</v>
      </c>
      <c r="S246">
        <f t="shared" si="28"/>
        <v>245</v>
      </c>
      <c r="T246">
        <v>210</v>
      </c>
      <c r="U246">
        <f t="shared" si="29"/>
        <v>147</v>
      </c>
      <c r="V246">
        <v>83</v>
      </c>
      <c r="W246">
        <v>356</v>
      </c>
      <c r="X246">
        <v>327</v>
      </c>
      <c r="Y246">
        <v>279</v>
      </c>
      <c r="Z246">
        <f t="shared" si="30"/>
        <v>245</v>
      </c>
      <c r="AA246">
        <v>210</v>
      </c>
      <c r="AB246">
        <f t="shared" si="31"/>
        <v>147</v>
      </c>
      <c r="AC246">
        <v>83</v>
      </c>
    </row>
    <row r="247" spans="1:29" x14ac:dyDescent="0.25">
      <c r="A247" t="s">
        <v>255</v>
      </c>
      <c r="B247">
        <v>415</v>
      </c>
      <c r="C247">
        <v>376</v>
      </c>
      <c r="D247">
        <v>316</v>
      </c>
      <c r="E247">
        <f t="shared" si="24"/>
        <v>274</v>
      </c>
      <c r="F247">
        <v>232</v>
      </c>
      <c r="G247">
        <f t="shared" si="25"/>
        <v>160</v>
      </c>
      <c r="H247">
        <v>87</v>
      </c>
      <c r="I247">
        <v>415</v>
      </c>
      <c r="J247">
        <v>376</v>
      </c>
      <c r="K247">
        <v>316</v>
      </c>
      <c r="L247">
        <f t="shared" si="26"/>
        <v>274</v>
      </c>
      <c r="M247">
        <v>232</v>
      </c>
      <c r="N247">
        <f t="shared" si="27"/>
        <v>160</v>
      </c>
      <c r="O247">
        <v>87</v>
      </c>
      <c r="P247">
        <v>311</v>
      </c>
      <c r="Q247">
        <v>288</v>
      </c>
      <c r="R247">
        <v>248</v>
      </c>
      <c r="S247">
        <f t="shared" si="28"/>
        <v>218</v>
      </c>
      <c r="T247">
        <v>188</v>
      </c>
      <c r="U247">
        <f t="shared" si="29"/>
        <v>132</v>
      </c>
      <c r="V247">
        <v>76</v>
      </c>
      <c r="W247">
        <v>311</v>
      </c>
      <c r="X247">
        <v>288</v>
      </c>
      <c r="Y247">
        <v>248</v>
      </c>
      <c r="Z247">
        <f t="shared" si="30"/>
        <v>218</v>
      </c>
      <c r="AA247">
        <v>188</v>
      </c>
      <c r="AB247">
        <f t="shared" si="31"/>
        <v>132</v>
      </c>
      <c r="AC247">
        <v>76</v>
      </c>
    </row>
    <row r="248" spans="1:29" x14ac:dyDescent="0.25">
      <c r="A248" t="s">
        <v>256</v>
      </c>
      <c r="B248">
        <v>405</v>
      </c>
      <c r="C248">
        <v>367</v>
      </c>
      <c r="D248">
        <v>308</v>
      </c>
      <c r="E248">
        <f t="shared" si="24"/>
        <v>266</v>
      </c>
      <c r="F248">
        <v>224</v>
      </c>
      <c r="G248">
        <f t="shared" si="25"/>
        <v>155</v>
      </c>
      <c r="H248">
        <v>85</v>
      </c>
      <c r="I248">
        <v>405</v>
      </c>
      <c r="J248">
        <v>367</v>
      </c>
      <c r="K248">
        <v>308</v>
      </c>
      <c r="L248">
        <f t="shared" si="26"/>
        <v>266</v>
      </c>
      <c r="M248">
        <v>224</v>
      </c>
      <c r="N248">
        <f t="shared" si="27"/>
        <v>155</v>
      </c>
      <c r="O248">
        <v>85</v>
      </c>
      <c r="P248">
        <v>303</v>
      </c>
      <c r="Q248">
        <v>281</v>
      </c>
      <c r="R248">
        <v>241</v>
      </c>
      <c r="S248">
        <f t="shared" si="28"/>
        <v>212</v>
      </c>
      <c r="T248">
        <v>182</v>
      </c>
      <c r="U248">
        <f t="shared" si="29"/>
        <v>128</v>
      </c>
      <c r="V248">
        <v>74</v>
      </c>
      <c r="W248">
        <v>303</v>
      </c>
      <c r="X248">
        <v>281</v>
      </c>
      <c r="Y248">
        <v>241</v>
      </c>
      <c r="Z248">
        <f t="shared" si="30"/>
        <v>212</v>
      </c>
      <c r="AA248">
        <v>182</v>
      </c>
      <c r="AB248">
        <f t="shared" si="31"/>
        <v>128</v>
      </c>
      <c r="AC248">
        <v>74</v>
      </c>
    </row>
    <row r="249" spans="1:29" x14ac:dyDescent="0.25">
      <c r="A249" t="s">
        <v>257</v>
      </c>
      <c r="B249">
        <v>1673</v>
      </c>
      <c r="C249">
        <v>1458</v>
      </c>
      <c r="D249">
        <v>1178</v>
      </c>
      <c r="E249">
        <f t="shared" si="24"/>
        <v>1004</v>
      </c>
      <c r="F249">
        <v>829</v>
      </c>
      <c r="G249">
        <f t="shared" si="25"/>
        <v>575</v>
      </c>
      <c r="H249">
        <v>320</v>
      </c>
      <c r="I249">
        <v>1165</v>
      </c>
      <c r="J249">
        <v>1008</v>
      </c>
      <c r="K249">
        <v>808</v>
      </c>
      <c r="L249">
        <f t="shared" si="26"/>
        <v>687</v>
      </c>
      <c r="M249">
        <v>566</v>
      </c>
      <c r="N249">
        <f t="shared" si="27"/>
        <v>392</v>
      </c>
      <c r="O249">
        <v>217</v>
      </c>
      <c r="P249">
        <v>1254</v>
      </c>
      <c r="Q249">
        <v>1115</v>
      </c>
      <c r="R249">
        <v>922</v>
      </c>
      <c r="S249">
        <f t="shared" si="28"/>
        <v>798</v>
      </c>
      <c r="T249">
        <v>673</v>
      </c>
      <c r="U249">
        <f t="shared" si="29"/>
        <v>476</v>
      </c>
      <c r="V249">
        <v>279</v>
      </c>
      <c r="W249">
        <v>874</v>
      </c>
      <c r="X249">
        <v>771</v>
      </c>
      <c r="Y249">
        <v>632</v>
      </c>
      <c r="Z249">
        <f t="shared" si="30"/>
        <v>546</v>
      </c>
      <c r="AA249">
        <v>459</v>
      </c>
      <c r="AB249">
        <f t="shared" si="31"/>
        <v>324</v>
      </c>
      <c r="AC249">
        <v>189</v>
      </c>
    </row>
    <row r="250" spans="1:29" x14ac:dyDescent="0.25">
      <c r="A250" t="s">
        <v>258</v>
      </c>
      <c r="B250">
        <v>1561</v>
      </c>
      <c r="C250">
        <v>1364</v>
      </c>
      <c r="D250">
        <v>1107</v>
      </c>
      <c r="E250">
        <f t="shared" si="24"/>
        <v>944</v>
      </c>
      <c r="F250">
        <v>781</v>
      </c>
      <c r="G250">
        <f t="shared" si="25"/>
        <v>542</v>
      </c>
      <c r="H250">
        <v>302</v>
      </c>
      <c r="I250">
        <v>1115</v>
      </c>
      <c r="J250">
        <v>966</v>
      </c>
      <c r="K250">
        <v>776</v>
      </c>
      <c r="L250">
        <f t="shared" si="26"/>
        <v>660</v>
      </c>
      <c r="M250">
        <v>543</v>
      </c>
      <c r="N250">
        <f t="shared" si="27"/>
        <v>375</v>
      </c>
      <c r="O250">
        <v>207</v>
      </c>
      <c r="P250">
        <v>1170</v>
      </c>
      <c r="Q250">
        <v>1044</v>
      </c>
      <c r="R250">
        <v>867</v>
      </c>
      <c r="S250">
        <f t="shared" si="28"/>
        <v>751</v>
      </c>
      <c r="T250">
        <v>634</v>
      </c>
      <c r="U250">
        <f t="shared" si="29"/>
        <v>449</v>
      </c>
      <c r="V250">
        <v>263</v>
      </c>
      <c r="W250">
        <v>836</v>
      </c>
      <c r="X250">
        <v>740</v>
      </c>
      <c r="Y250">
        <v>608</v>
      </c>
      <c r="Z250">
        <f t="shared" si="30"/>
        <v>525</v>
      </c>
      <c r="AA250">
        <v>441</v>
      </c>
      <c r="AB250">
        <f t="shared" si="31"/>
        <v>311</v>
      </c>
      <c r="AC250">
        <v>180</v>
      </c>
    </row>
    <row r="251" spans="1:29" x14ac:dyDescent="0.25">
      <c r="A251" t="s">
        <v>259</v>
      </c>
      <c r="B251">
        <v>1446</v>
      </c>
      <c r="C251">
        <v>1268</v>
      </c>
      <c r="D251">
        <v>1035</v>
      </c>
      <c r="E251">
        <f t="shared" si="24"/>
        <v>884</v>
      </c>
      <c r="F251">
        <v>732</v>
      </c>
      <c r="G251">
        <f t="shared" si="25"/>
        <v>507</v>
      </c>
      <c r="H251">
        <v>282</v>
      </c>
      <c r="I251">
        <v>1066</v>
      </c>
      <c r="J251">
        <v>925</v>
      </c>
      <c r="K251">
        <v>746</v>
      </c>
      <c r="L251">
        <f t="shared" si="26"/>
        <v>634</v>
      </c>
      <c r="M251">
        <v>521</v>
      </c>
      <c r="N251">
        <f t="shared" si="27"/>
        <v>360</v>
      </c>
      <c r="O251">
        <v>198</v>
      </c>
      <c r="P251">
        <v>1084</v>
      </c>
      <c r="Q251">
        <v>970</v>
      </c>
      <c r="R251">
        <v>810</v>
      </c>
      <c r="S251">
        <f t="shared" si="28"/>
        <v>703</v>
      </c>
      <c r="T251">
        <v>595</v>
      </c>
      <c r="U251">
        <f t="shared" si="29"/>
        <v>421</v>
      </c>
      <c r="V251">
        <v>246</v>
      </c>
      <c r="W251">
        <v>799</v>
      </c>
      <c r="X251">
        <v>708</v>
      </c>
      <c r="Y251">
        <v>584</v>
      </c>
      <c r="Z251">
        <f t="shared" si="30"/>
        <v>504</v>
      </c>
      <c r="AA251">
        <v>424</v>
      </c>
      <c r="AB251">
        <f t="shared" si="31"/>
        <v>299</v>
      </c>
      <c r="AC251">
        <v>173</v>
      </c>
    </row>
    <row r="252" spans="1:29" x14ac:dyDescent="0.25">
      <c r="A252" t="s">
        <v>260</v>
      </c>
      <c r="B252">
        <v>1326</v>
      </c>
      <c r="C252">
        <v>1169</v>
      </c>
      <c r="D252">
        <v>958</v>
      </c>
      <c r="E252">
        <f t="shared" si="24"/>
        <v>819</v>
      </c>
      <c r="F252">
        <v>680</v>
      </c>
      <c r="G252">
        <f t="shared" si="25"/>
        <v>471</v>
      </c>
      <c r="H252">
        <v>261</v>
      </c>
      <c r="I252">
        <v>1016</v>
      </c>
      <c r="J252">
        <v>884</v>
      </c>
      <c r="K252">
        <v>713</v>
      </c>
      <c r="L252">
        <f t="shared" si="26"/>
        <v>607</v>
      </c>
      <c r="M252">
        <v>501</v>
      </c>
      <c r="N252">
        <f t="shared" si="27"/>
        <v>345</v>
      </c>
      <c r="O252">
        <v>189</v>
      </c>
      <c r="P252">
        <v>994</v>
      </c>
      <c r="Q252">
        <v>895</v>
      </c>
      <c r="R252">
        <v>750</v>
      </c>
      <c r="S252">
        <f t="shared" si="28"/>
        <v>651</v>
      </c>
      <c r="T252">
        <v>552</v>
      </c>
      <c r="U252">
        <f t="shared" si="29"/>
        <v>390</v>
      </c>
      <c r="V252">
        <v>227</v>
      </c>
      <c r="W252">
        <v>762</v>
      </c>
      <c r="X252">
        <v>677</v>
      </c>
      <c r="Y252">
        <v>558</v>
      </c>
      <c r="Z252">
        <f t="shared" si="30"/>
        <v>482</v>
      </c>
      <c r="AA252">
        <v>406</v>
      </c>
      <c r="AB252">
        <f t="shared" si="31"/>
        <v>286</v>
      </c>
      <c r="AC252">
        <v>165</v>
      </c>
    </row>
    <row r="253" spans="1:29" x14ac:dyDescent="0.25">
      <c r="A253" t="s">
        <v>261</v>
      </c>
      <c r="B253">
        <v>1201</v>
      </c>
      <c r="C253">
        <v>1064</v>
      </c>
      <c r="D253">
        <v>876</v>
      </c>
      <c r="E253">
        <f t="shared" si="24"/>
        <v>750</v>
      </c>
      <c r="F253">
        <v>624</v>
      </c>
      <c r="G253">
        <f t="shared" si="25"/>
        <v>432</v>
      </c>
      <c r="H253">
        <v>239</v>
      </c>
      <c r="I253">
        <v>967</v>
      </c>
      <c r="J253">
        <v>842</v>
      </c>
      <c r="K253">
        <v>681</v>
      </c>
      <c r="L253">
        <f t="shared" si="26"/>
        <v>579</v>
      </c>
      <c r="M253">
        <v>476</v>
      </c>
      <c r="N253">
        <f t="shared" si="27"/>
        <v>328</v>
      </c>
      <c r="O253">
        <v>179</v>
      </c>
      <c r="P253">
        <v>900</v>
      </c>
      <c r="Q253">
        <v>814</v>
      </c>
      <c r="R253">
        <v>686</v>
      </c>
      <c r="S253">
        <f t="shared" si="28"/>
        <v>597</v>
      </c>
      <c r="T253">
        <v>507</v>
      </c>
      <c r="U253">
        <f t="shared" si="29"/>
        <v>358</v>
      </c>
      <c r="V253">
        <v>208</v>
      </c>
      <c r="W253">
        <v>724</v>
      </c>
      <c r="X253">
        <v>644</v>
      </c>
      <c r="Y253">
        <v>534</v>
      </c>
      <c r="Z253">
        <f t="shared" si="30"/>
        <v>461</v>
      </c>
      <c r="AA253">
        <v>387</v>
      </c>
      <c r="AB253">
        <f t="shared" si="31"/>
        <v>272</v>
      </c>
      <c r="AC253">
        <v>156</v>
      </c>
    </row>
    <row r="254" spans="1:29" x14ac:dyDescent="0.25">
      <c r="A254" t="s">
        <v>262</v>
      </c>
      <c r="B254">
        <v>1074</v>
      </c>
      <c r="C254">
        <v>948</v>
      </c>
      <c r="D254">
        <v>785</v>
      </c>
      <c r="E254">
        <f t="shared" si="24"/>
        <v>673</v>
      </c>
      <c r="F254">
        <v>560</v>
      </c>
      <c r="G254">
        <f t="shared" si="25"/>
        <v>388</v>
      </c>
      <c r="H254">
        <v>215</v>
      </c>
      <c r="I254">
        <v>920</v>
      </c>
      <c r="J254">
        <v>798</v>
      </c>
      <c r="K254">
        <v>646</v>
      </c>
      <c r="L254">
        <f t="shared" si="26"/>
        <v>549</v>
      </c>
      <c r="M254">
        <v>452</v>
      </c>
      <c r="N254">
        <f t="shared" si="27"/>
        <v>312</v>
      </c>
      <c r="O254">
        <v>171</v>
      </c>
      <c r="P254">
        <v>805</v>
      </c>
      <c r="Q254">
        <v>725</v>
      </c>
      <c r="R254">
        <v>614</v>
      </c>
      <c r="S254">
        <f t="shared" si="28"/>
        <v>535</v>
      </c>
      <c r="T254">
        <v>455</v>
      </c>
      <c r="U254">
        <f t="shared" si="29"/>
        <v>321</v>
      </c>
      <c r="V254">
        <v>187</v>
      </c>
      <c r="W254">
        <v>690</v>
      </c>
      <c r="X254">
        <v>610</v>
      </c>
      <c r="Y254">
        <v>505</v>
      </c>
      <c r="Z254">
        <f t="shared" si="30"/>
        <v>436</v>
      </c>
      <c r="AA254">
        <v>367</v>
      </c>
      <c r="AB254">
        <f t="shared" si="31"/>
        <v>258</v>
      </c>
      <c r="AC254">
        <v>149</v>
      </c>
    </row>
    <row r="255" spans="1:29" x14ac:dyDescent="0.25">
      <c r="A255" t="s">
        <v>263</v>
      </c>
      <c r="B255">
        <v>927</v>
      </c>
      <c r="C255">
        <v>824</v>
      </c>
      <c r="D255">
        <v>686</v>
      </c>
      <c r="E255">
        <f t="shared" si="24"/>
        <v>590</v>
      </c>
      <c r="F255">
        <v>493</v>
      </c>
      <c r="G255">
        <f t="shared" si="25"/>
        <v>340</v>
      </c>
      <c r="H255">
        <v>186</v>
      </c>
      <c r="I255">
        <v>864</v>
      </c>
      <c r="J255">
        <v>752</v>
      </c>
      <c r="K255">
        <v>611</v>
      </c>
      <c r="L255">
        <f t="shared" si="26"/>
        <v>520</v>
      </c>
      <c r="M255">
        <v>428</v>
      </c>
      <c r="N255">
        <f t="shared" si="27"/>
        <v>294</v>
      </c>
      <c r="O255">
        <v>159</v>
      </c>
      <c r="P255">
        <v>695</v>
      </c>
      <c r="Q255">
        <v>630</v>
      </c>
      <c r="R255">
        <v>537</v>
      </c>
      <c r="S255">
        <f t="shared" si="28"/>
        <v>469</v>
      </c>
      <c r="T255">
        <v>400</v>
      </c>
      <c r="U255">
        <f t="shared" si="29"/>
        <v>281</v>
      </c>
      <c r="V255">
        <v>162</v>
      </c>
      <c r="W255">
        <v>648</v>
      </c>
      <c r="X255">
        <v>575</v>
      </c>
      <c r="Y255">
        <v>478</v>
      </c>
      <c r="Z255">
        <f t="shared" si="30"/>
        <v>413</v>
      </c>
      <c r="AA255">
        <v>347</v>
      </c>
      <c r="AB255">
        <f t="shared" si="31"/>
        <v>243</v>
      </c>
      <c r="AC255">
        <v>139</v>
      </c>
    </row>
    <row r="256" spans="1:29" x14ac:dyDescent="0.25">
      <c r="A256" t="s">
        <v>264</v>
      </c>
      <c r="B256">
        <v>1559</v>
      </c>
      <c r="C256">
        <v>1361</v>
      </c>
      <c r="D256">
        <v>1102</v>
      </c>
      <c r="E256">
        <f t="shared" si="24"/>
        <v>939</v>
      </c>
      <c r="F256">
        <v>776</v>
      </c>
      <c r="G256">
        <f t="shared" si="25"/>
        <v>537</v>
      </c>
      <c r="H256">
        <v>298</v>
      </c>
      <c r="I256">
        <v>1115</v>
      </c>
      <c r="J256">
        <v>965</v>
      </c>
      <c r="K256">
        <v>775</v>
      </c>
      <c r="L256">
        <f t="shared" si="26"/>
        <v>658</v>
      </c>
      <c r="M256">
        <v>540</v>
      </c>
      <c r="N256">
        <f t="shared" si="27"/>
        <v>373</v>
      </c>
      <c r="O256">
        <v>206</v>
      </c>
      <c r="P256">
        <v>1169</v>
      </c>
      <c r="Q256">
        <v>1041</v>
      </c>
      <c r="R256">
        <v>863</v>
      </c>
      <c r="S256">
        <f t="shared" si="28"/>
        <v>747</v>
      </c>
      <c r="T256">
        <v>630</v>
      </c>
      <c r="U256">
        <f t="shared" si="29"/>
        <v>445</v>
      </c>
      <c r="V256">
        <v>260</v>
      </c>
      <c r="W256">
        <v>836</v>
      </c>
      <c r="X256">
        <v>738</v>
      </c>
      <c r="Y256">
        <v>607</v>
      </c>
      <c r="Z256">
        <f t="shared" si="30"/>
        <v>523</v>
      </c>
      <c r="AA256">
        <v>439</v>
      </c>
      <c r="AB256">
        <f t="shared" si="31"/>
        <v>309</v>
      </c>
      <c r="AC256">
        <v>179</v>
      </c>
    </row>
    <row r="257" spans="1:29" x14ac:dyDescent="0.25">
      <c r="A257" t="s">
        <v>265</v>
      </c>
      <c r="B257">
        <v>1441</v>
      </c>
      <c r="C257">
        <v>1264</v>
      </c>
      <c r="D257">
        <v>1028</v>
      </c>
      <c r="E257">
        <f t="shared" si="24"/>
        <v>877</v>
      </c>
      <c r="F257">
        <v>726</v>
      </c>
      <c r="G257">
        <f t="shared" si="25"/>
        <v>503</v>
      </c>
      <c r="H257">
        <v>279</v>
      </c>
      <c r="I257">
        <v>1064</v>
      </c>
      <c r="J257">
        <v>923</v>
      </c>
      <c r="K257">
        <v>743</v>
      </c>
      <c r="L257">
        <f t="shared" si="26"/>
        <v>631</v>
      </c>
      <c r="M257">
        <v>519</v>
      </c>
      <c r="N257">
        <f t="shared" si="27"/>
        <v>358</v>
      </c>
      <c r="O257">
        <v>197</v>
      </c>
      <c r="P257">
        <v>1080</v>
      </c>
      <c r="Q257">
        <v>967</v>
      </c>
      <c r="R257">
        <v>805</v>
      </c>
      <c r="S257">
        <f t="shared" si="28"/>
        <v>698</v>
      </c>
      <c r="T257">
        <v>590</v>
      </c>
      <c r="U257">
        <f t="shared" si="29"/>
        <v>417</v>
      </c>
      <c r="V257">
        <v>243</v>
      </c>
      <c r="W257">
        <v>797</v>
      </c>
      <c r="X257">
        <v>706</v>
      </c>
      <c r="Y257">
        <v>582</v>
      </c>
      <c r="Z257">
        <f t="shared" si="30"/>
        <v>502</v>
      </c>
      <c r="AA257">
        <v>422</v>
      </c>
      <c r="AB257">
        <f t="shared" si="31"/>
        <v>297</v>
      </c>
      <c r="AC257">
        <v>172</v>
      </c>
    </row>
    <row r="258" spans="1:29" x14ac:dyDescent="0.25">
      <c r="A258" t="s">
        <v>266</v>
      </c>
      <c r="B258">
        <v>1322</v>
      </c>
      <c r="C258">
        <v>1163</v>
      </c>
      <c r="D258">
        <v>952</v>
      </c>
      <c r="E258">
        <f t="shared" si="24"/>
        <v>813</v>
      </c>
      <c r="F258">
        <v>674</v>
      </c>
      <c r="G258">
        <f t="shared" si="25"/>
        <v>466</v>
      </c>
      <c r="H258">
        <v>258</v>
      </c>
      <c r="I258">
        <v>1015</v>
      </c>
      <c r="J258">
        <v>882</v>
      </c>
      <c r="K258">
        <v>712</v>
      </c>
      <c r="L258">
        <f t="shared" si="26"/>
        <v>605</v>
      </c>
      <c r="M258">
        <v>497</v>
      </c>
      <c r="N258">
        <f t="shared" si="27"/>
        <v>342</v>
      </c>
      <c r="O258">
        <v>187</v>
      </c>
      <c r="P258">
        <v>991</v>
      </c>
      <c r="Q258">
        <v>890</v>
      </c>
      <c r="R258">
        <v>745</v>
      </c>
      <c r="S258">
        <f t="shared" si="28"/>
        <v>647</v>
      </c>
      <c r="T258">
        <v>548</v>
      </c>
      <c r="U258">
        <f t="shared" si="29"/>
        <v>387</v>
      </c>
      <c r="V258">
        <v>225</v>
      </c>
      <c r="W258">
        <v>761</v>
      </c>
      <c r="X258">
        <v>675</v>
      </c>
      <c r="Y258">
        <v>557</v>
      </c>
      <c r="Z258">
        <f t="shared" si="30"/>
        <v>481</v>
      </c>
      <c r="AA258">
        <v>404</v>
      </c>
      <c r="AB258">
        <f t="shared" si="31"/>
        <v>284</v>
      </c>
      <c r="AC258">
        <v>163</v>
      </c>
    </row>
    <row r="259" spans="1:29" x14ac:dyDescent="0.25">
      <c r="A259" t="s">
        <v>267</v>
      </c>
      <c r="B259">
        <v>1196</v>
      </c>
      <c r="C259">
        <v>1058</v>
      </c>
      <c r="D259">
        <v>872</v>
      </c>
      <c r="E259">
        <f t="shared" si="24"/>
        <v>746</v>
      </c>
      <c r="F259">
        <v>619</v>
      </c>
      <c r="G259">
        <f t="shared" si="25"/>
        <v>428</v>
      </c>
      <c r="H259">
        <v>236</v>
      </c>
      <c r="I259">
        <v>964</v>
      </c>
      <c r="J259">
        <v>839</v>
      </c>
      <c r="K259">
        <v>681</v>
      </c>
      <c r="L259">
        <f t="shared" si="26"/>
        <v>578</v>
      </c>
      <c r="M259">
        <v>475</v>
      </c>
      <c r="N259">
        <f t="shared" si="27"/>
        <v>327</v>
      </c>
      <c r="O259">
        <v>178</v>
      </c>
      <c r="P259">
        <v>896</v>
      </c>
      <c r="Q259">
        <v>810</v>
      </c>
      <c r="R259">
        <v>682</v>
      </c>
      <c r="S259">
        <f t="shared" si="28"/>
        <v>593</v>
      </c>
      <c r="T259">
        <v>503</v>
      </c>
      <c r="U259">
        <f t="shared" si="29"/>
        <v>355</v>
      </c>
      <c r="V259">
        <v>206</v>
      </c>
      <c r="W259">
        <v>722</v>
      </c>
      <c r="X259">
        <v>643</v>
      </c>
      <c r="Y259">
        <v>532</v>
      </c>
      <c r="Z259">
        <f t="shared" si="30"/>
        <v>459</v>
      </c>
      <c r="AA259">
        <v>386</v>
      </c>
      <c r="AB259">
        <f t="shared" si="31"/>
        <v>271</v>
      </c>
      <c r="AC259">
        <v>155</v>
      </c>
    </row>
    <row r="260" spans="1:29" x14ac:dyDescent="0.25">
      <c r="A260" t="s">
        <v>268</v>
      </c>
      <c r="B260">
        <v>1071</v>
      </c>
      <c r="C260">
        <v>946</v>
      </c>
      <c r="D260">
        <v>781</v>
      </c>
      <c r="E260">
        <f t="shared" ref="E260:E323" si="32">ROUND((D260+F260)/2,0)</f>
        <v>670</v>
      </c>
      <c r="F260">
        <v>558</v>
      </c>
      <c r="G260">
        <f t="shared" ref="G260:G323" si="33">ROUND((F260+H260)/2,0)</f>
        <v>385</v>
      </c>
      <c r="H260">
        <v>212</v>
      </c>
      <c r="I260">
        <v>919</v>
      </c>
      <c r="J260">
        <v>797</v>
      </c>
      <c r="K260">
        <v>646</v>
      </c>
      <c r="L260">
        <f t="shared" ref="L260:L323" si="34">ROUND((K260+M260)/2,0)</f>
        <v>549</v>
      </c>
      <c r="M260">
        <v>451</v>
      </c>
      <c r="N260">
        <f t="shared" ref="N260:N323" si="35">ROUND((M260+O260)/2,0)</f>
        <v>310</v>
      </c>
      <c r="O260">
        <v>168</v>
      </c>
      <c r="P260">
        <v>803</v>
      </c>
      <c r="Q260">
        <v>724</v>
      </c>
      <c r="R260">
        <v>612</v>
      </c>
      <c r="S260">
        <f t="shared" ref="S260:S323" si="36">ROUND((R260+T260)/2,0)</f>
        <v>533</v>
      </c>
      <c r="T260">
        <v>453</v>
      </c>
      <c r="U260">
        <f t="shared" ref="U260:U323" si="37">ROUND((T260+V260)/2,0)</f>
        <v>319</v>
      </c>
      <c r="V260">
        <v>185</v>
      </c>
      <c r="W260">
        <v>689</v>
      </c>
      <c r="X260">
        <v>610</v>
      </c>
      <c r="Y260">
        <v>506</v>
      </c>
      <c r="Z260">
        <f t="shared" ref="Z260:Z323" si="38">ROUND((Y260+AA260)/2,0)</f>
        <v>436</v>
      </c>
      <c r="AA260">
        <v>366</v>
      </c>
      <c r="AB260">
        <f t="shared" ref="AB260:AB323" si="39">ROUND((AA260+AC260)/2,0)</f>
        <v>257</v>
      </c>
      <c r="AC260">
        <v>147</v>
      </c>
    </row>
    <row r="261" spans="1:29" x14ac:dyDescent="0.25">
      <c r="A261" t="s">
        <v>269</v>
      </c>
      <c r="B261">
        <v>925</v>
      </c>
      <c r="C261">
        <v>822</v>
      </c>
      <c r="D261">
        <v>684</v>
      </c>
      <c r="E261">
        <f t="shared" si="32"/>
        <v>587</v>
      </c>
      <c r="F261">
        <v>490</v>
      </c>
      <c r="G261">
        <f t="shared" si="33"/>
        <v>338</v>
      </c>
      <c r="H261">
        <v>186</v>
      </c>
      <c r="I261">
        <v>865</v>
      </c>
      <c r="J261">
        <v>751</v>
      </c>
      <c r="K261">
        <v>611</v>
      </c>
      <c r="L261">
        <f t="shared" si="34"/>
        <v>519</v>
      </c>
      <c r="M261">
        <v>427</v>
      </c>
      <c r="N261">
        <f t="shared" si="35"/>
        <v>293</v>
      </c>
      <c r="O261">
        <v>159</v>
      </c>
      <c r="P261">
        <v>693</v>
      </c>
      <c r="Q261">
        <v>629</v>
      </c>
      <c r="R261">
        <v>535</v>
      </c>
      <c r="S261">
        <f t="shared" si="36"/>
        <v>467</v>
      </c>
      <c r="T261">
        <v>398</v>
      </c>
      <c r="U261">
        <f t="shared" si="37"/>
        <v>280</v>
      </c>
      <c r="V261">
        <v>162</v>
      </c>
      <c r="W261">
        <v>648</v>
      </c>
      <c r="X261">
        <v>575</v>
      </c>
      <c r="Y261">
        <v>478</v>
      </c>
      <c r="Z261">
        <f t="shared" si="38"/>
        <v>413</v>
      </c>
      <c r="AA261">
        <v>347</v>
      </c>
      <c r="AB261">
        <f t="shared" si="39"/>
        <v>243</v>
      </c>
      <c r="AC261">
        <v>139</v>
      </c>
    </row>
    <row r="262" spans="1:29" x14ac:dyDescent="0.25">
      <c r="A262" t="s">
        <v>270</v>
      </c>
      <c r="B262">
        <v>839</v>
      </c>
      <c r="C262">
        <v>746</v>
      </c>
      <c r="D262">
        <v>601</v>
      </c>
      <c r="E262">
        <f t="shared" si="32"/>
        <v>511</v>
      </c>
      <c r="F262">
        <v>421</v>
      </c>
      <c r="G262">
        <f t="shared" si="33"/>
        <v>289</v>
      </c>
      <c r="H262">
        <v>156</v>
      </c>
      <c r="I262">
        <v>839</v>
      </c>
      <c r="J262">
        <v>746</v>
      </c>
      <c r="K262">
        <v>601</v>
      </c>
      <c r="L262">
        <f t="shared" si="34"/>
        <v>511</v>
      </c>
      <c r="M262">
        <v>421</v>
      </c>
      <c r="N262">
        <f t="shared" si="35"/>
        <v>289</v>
      </c>
      <c r="O262">
        <v>156</v>
      </c>
      <c r="P262">
        <v>629</v>
      </c>
      <c r="Q262">
        <v>571</v>
      </c>
      <c r="R262">
        <v>471</v>
      </c>
      <c r="S262">
        <f t="shared" si="36"/>
        <v>407</v>
      </c>
      <c r="T262">
        <v>342</v>
      </c>
      <c r="U262">
        <f t="shared" si="37"/>
        <v>239</v>
      </c>
      <c r="V262">
        <v>136</v>
      </c>
      <c r="W262">
        <v>629</v>
      </c>
      <c r="X262">
        <v>571</v>
      </c>
      <c r="Y262">
        <v>471</v>
      </c>
      <c r="Z262">
        <f t="shared" si="38"/>
        <v>407</v>
      </c>
      <c r="AA262">
        <v>342</v>
      </c>
      <c r="AB262">
        <f t="shared" si="39"/>
        <v>239</v>
      </c>
      <c r="AC262">
        <v>136</v>
      </c>
    </row>
    <row r="263" spans="1:29" x14ac:dyDescent="0.25">
      <c r="A263" t="s">
        <v>271</v>
      </c>
      <c r="B263">
        <v>1439</v>
      </c>
      <c r="C263">
        <v>1259</v>
      </c>
      <c r="D263">
        <v>1022</v>
      </c>
      <c r="E263">
        <f t="shared" si="32"/>
        <v>871</v>
      </c>
      <c r="F263">
        <v>720</v>
      </c>
      <c r="G263">
        <f t="shared" si="33"/>
        <v>498</v>
      </c>
      <c r="H263">
        <v>275</v>
      </c>
      <c r="I263">
        <v>1063</v>
      </c>
      <c r="J263">
        <v>921</v>
      </c>
      <c r="K263">
        <v>741</v>
      </c>
      <c r="L263">
        <f t="shared" si="34"/>
        <v>629</v>
      </c>
      <c r="M263">
        <v>517</v>
      </c>
      <c r="N263">
        <f t="shared" si="35"/>
        <v>356</v>
      </c>
      <c r="O263">
        <v>195</v>
      </c>
      <c r="P263">
        <v>1079</v>
      </c>
      <c r="Q263">
        <v>964</v>
      </c>
      <c r="R263">
        <v>800</v>
      </c>
      <c r="S263">
        <f t="shared" si="36"/>
        <v>692</v>
      </c>
      <c r="T263">
        <v>584</v>
      </c>
      <c r="U263">
        <f t="shared" si="37"/>
        <v>412</v>
      </c>
      <c r="V263">
        <v>240</v>
      </c>
      <c r="W263">
        <v>797</v>
      </c>
      <c r="X263">
        <v>705</v>
      </c>
      <c r="Y263">
        <v>580</v>
      </c>
      <c r="Z263">
        <f t="shared" si="38"/>
        <v>500</v>
      </c>
      <c r="AA263">
        <v>419</v>
      </c>
      <c r="AB263">
        <f t="shared" si="39"/>
        <v>295</v>
      </c>
      <c r="AC263">
        <v>170</v>
      </c>
    </row>
    <row r="264" spans="1:29" x14ac:dyDescent="0.25">
      <c r="A264" t="s">
        <v>272</v>
      </c>
      <c r="B264">
        <v>1317</v>
      </c>
      <c r="C264">
        <v>1158</v>
      </c>
      <c r="D264">
        <v>946</v>
      </c>
      <c r="E264">
        <f t="shared" si="32"/>
        <v>807</v>
      </c>
      <c r="F264">
        <v>668</v>
      </c>
      <c r="G264">
        <f t="shared" si="33"/>
        <v>462</v>
      </c>
      <c r="H264">
        <v>255</v>
      </c>
      <c r="I264">
        <v>1014</v>
      </c>
      <c r="J264">
        <v>880</v>
      </c>
      <c r="K264">
        <v>710</v>
      </c>
      <c r="L264">
        <f t="shared" si="34"/>
        <v>603</v>
      </c>
      <c r="M264">
        <v>495</v>
      </c>
      <c r="N264">
        <f t="shared" si="35"/>
        <v>341</v>
      </c>
      <c r="O264">
        <v>187</v>
      </c>
      <c r="P264">
        <v>987</v>
      </c>
      <c r="Q264">
        <v>886</v>
      </c>
      <c r="R264">
        <v>740</v>
      </c>
      <c r="S264">
        <f t="shared" si="36"/>
        <v>642</v>
      </c>
      <c r="T264">
        <v>543</v>
      </c>
      <c r="U264">
        <f t="shared" si="37"/>
        <v>383</v>
      </c>
      <c r="V264">
        <v>222</v>
      </c>
      <c r="W264">
        <v>760</v>
      </c>
      <c r="X264">
        <v>673</v>
      </c>
      <c r="Y264">
        <v>555</v>
      </c>
      <c r="Z264">
        <f t="shared" si="38"/>
        <v>479</v>
      </c>
      <c r="AA264">
        <v>402</v>
      </c>
      <c r="AB264">
        <f t="shared" si="39"/>
        <v>283</v>
      </c>
      <c r="AC264">
        <v>163</v>
      </c>
    </row>
    <row r="265" spans="1:29" x14ac:dyDescent="0.25">
      <c r="A265" t="s">
        <v>273</v>
      </c>
      <c r="B265">
        <v>1190</v>
      </c>
      <c r="C265">
        <v>1052</v>
      </c>
      <c r="D265">
        <v>864</v>
      </c>
      <c r="E265">
        <f t="shared" si="32"/>
        <v>739</v>
      </c>
      <c r="F265">
        <v>614</v>
      </c>
      <c r="G265">
        <f t="shared" si="33"/>
        <v>424</v>
      </c>
      <c r="H265">
        <v>234</v>
      </c>
      <c r="I265">
        <v>961</v>
      </c>
      <c r="J265">
        <v>838</v>
      </c>
      <c r="K265">
        <v>677</v>
      </c>
      <c r="L265">
        <f t="shared" si="34"/>
        <v>575</v>
      </c>
      <c r="M265">
        <v>472</v>
      </c>
      <c r="N265">
        <f t="shared" si="35"/>
        <v>325</v>
      </c>
      <c r="O265">
        <v>177</v>
      </c>
      <c r="P265">
        <v>892</v>
      </c>
      <c r="Q265">
        <v>805</v>
      </c>
      <c r="R265">
        <v>677</v>
      </c>
      <c r="S265">
        <f t="shared" si="36"/>
        <v>588</v>
      </c>
      <c r="T265">
        <v>499</v>
      </c>
      <c r="U265">
        <f t="shared" si="37"/>
        <v>352</v>
      </c>
      <c r="V265">
        <v>204</v>
      </c>
      <c r="W265">
        <v>720</v>
      </c>
      <c r="X265">
        <v>641</v>
      </c>
      <c r="Y265">
        <v>530</v>
      </c>
      <c r="Z265">
        <f t="shared" si="38"/>
        <v>457</v>
      </c>
      <c r="AA265">
        <v>384</v>
      </c>
      <c r="AB265">
        <f t="shared" si="39"/>
        <v>270</v>
      </c>
      <c r="AC265">
        <v>155</v>
      </c>
    </row>
    <row r="266" spans="1:29" x14ac:dyDescent="0.25">
      <c r="A266" t="s">
        <v>274</v>
      </c>
      <c r="B266">
        <v>1068</v>
      </c>
      <c r="C266">
        <v>941</v>
      </c>
      <c r="D266">
        <v>778</v>
      </c>
      <c r="E266">
        <f t="shared" si="32"/>
        <v>667</v>
      </c>
      <c r="F266">
        <v>555</v>
      </c>
      <c r="G266">
        <f t="shared" si="33"/>
        <v>383</v>
      </c>
      <c r="H266">
        <v>211</v>
      </c>
      <c r="I266">
        <v>918</v>
      </c>
      <c r="J266">
        <v>795</v>
      </c>
      <c r="K266">
        <v>645</v>
      </c>
      <c r="L266">
        <f t="shared" si="34"/>
        <v>548</v>
      </c>
      <c r="M266">
        <v>451</v>
      </c>
      <c r="N266">
        <f t="shared" si="35"/>
        <v>310</v>
      </c>
      <c r="O266">
        <v>168</v>
      </c>
      <c r="P266">
        <v>801</v>
      </c>
      <c r="Q266">
        <v>720</v>
      </c>
      <c r="R266">
        <v>609</v>
      </c>
      <c r="S266">
        <f t="shared" si="36"/>
        <v>530</v>
      </c>
      <c r="T266">
        <v>451</v>
      </c>
      <c r="U266">
        <f t="shared" si="37"/>
        <v>317</v>
      </c>
      <c r="V266">
        <v>183</v>
      </c>
      <c r="W266">
        <v>688</v>
      </c>
      <c r="X266">
        <v>608</v>
      </c>
      <c r="Y266">
        <v>505</v>
      </c>
      <c r="Z266">
        <f t="shared" si="38"/>
        <v>436</v>
      </c>
      <c r="AA266">
        <v>367</v>
      </c>
      <c r="AB266">
        <f t="shared" si="39"/>
        <v>256</v>
      </c>
      <c r="AC266">
        <v>145</v>
      </c>
    </row>
    <row r="267" spans="1:29" x14ac:dyDescent="0.25">
      <c r="A267" t="s">
        <v>275</v>
      </c>
      <c r="B267">
        <v>922</v>
      </c>
      <c r="C267">
        <v>818</v>
      </c>
      <c r="D267">
        <v>680</v>
      </c>
      <c r="E267">
        <f t="shared" si="32"/>
        <v>584</v>
      </c>
      <c r="F267">
        <v>488</v>
      </c>
      <c r="G267">
        <f t="shared" si="33"/>
        <v>337</v>
      </c>
      <c r="H267">
        <v>186</v>
      </c>
      <c r="I267">
        <v>863</v>
      </c>
      <c r="J267">
        <v>751</v>
      </c>
      <c r="K267">
        <v>609</v>
      </c>
      <c r="L267">
        <f t="shared" si="34"/>
        <v>518</v>
      </c>
      <c r="M267">
        <v>427</v>
      </c>
      <c r="N267">
        <f t="shared" si="35"/>
        <v>293</v>
      </c>
      <c r="O267">
        <v>159</v>
      </c>
      <c r="P267">
        <v>691</v>
      </c>
      <c r="Q267">
        <v>626</v>
      </c>
      <c r="R267">
        <v>533</v>
      </c>
      <c r="S267">
        <f t="shared" si="36"/>
        <v>465</v>
      </c>
      <c r="T267">
        <v>396</v>
      </c>
      <c r="U267">
        <f t="shared" si="37"/>
        <v>279</v>
      </c>
      <c r="V267">
        <v>162</v>
      </c>
      <c r="W267">
        <v>647</v>
      </c>
      <c r="X267">
        <v>575</v>
      </c>
      <c r="Y267">
        <v>478</v>
      </c>
      <c r="Z267">
        <f t="shared" si="38"/>
        <v>412</v>
      </c>
      <c r="AA267">
        <v>346</v>
      </c>
      <c r="AB267">
        <f t="shared" si="39"/>
        <v>243</v>
      </c>
      <c r="AC267">
        <v>139</v>
      </c>
    </row>
    <row r="268" spans="1:29" x14ac:dyDescent="0.25">
      <c r="A268" t="s">
        <v>276</v>
      </c>
      <c r="B268">
        <v>834</v>
      </c>
      <c r="C268">
        <v>741</v>
      </c>
      <c r="D268">
        <v>597</v>
      </c>
      <c r="E268">
        <f t="shared" si="32"/>
        <v>508</v>
      </c>
      <c r="F268">
        <v>419</v>
      </c>
      <c r="G268">
        <f t="shared" si="33"/>
        <v>288</v>
      </c>
      <c r="H268">
        <v>156</v>
      </c>
      <c r="I268">
        <v>834</v>
      </c>
      <c r="J268">
        <v>741</v>
      </c>
      <c r="K268">
        <v>597</v>
      </c>
      <c r="L268">
        <f t="shared" si="34"/>
        <v>508</v>
      </c>
      <c r="M268">
        <v>419</v>
      </c>
      <c r="N268">
        <f t="shared" si="35"/>
        <v>288</v>
      </c>
      <c r="O268">
        <v>156</v>
      </c>
      <c r="P268">
        <v>625</v>
      </c>
      <c r="Q268">
        <v>567</v>
      </c>
      <c r="R268">
        <v>468</v>
      </c>
      <c r="S268">
        <f t="shared" si="36"/>
        <v>404</v>
      </c>
      <c r="T268">
        <v>340</v>
      </c>
      <c r="U268">
        <f t="shared" si="37"/>
        <v>238</v>
      </c>
      <c r="V268">
        <v>136</v>
      </c>
      <c r="W268">
        <v>625</v>
      </c>
      <c r="X268">
        <v>567</v>
      </c>
      <c r="Y268">
        <v>468</v>
      </c>
      <c r="Z268">
        <f t="shared" si="38"/>
        <v>404</v>
      </c>
      <c r="AA268">
        <v>340</v>
      </c>
      <c r="AB268">
        <f t="shared" si="39"/>
        <v>238</v>
      </c>
      <c r="AC268">
        <v>136</v>
      </c>
    </row>
    <row r="269" spans="1:29" x14ac:dyDescent="0.25">
      <c r="A269" t="s">
        <v>277</v>
      </c>
      <c r="B269">
        <v>779</v>
      </c>
      <c r="C269">
        <v>695</v>
      </c>
      <c r="D269">
        <v>564</v>
      </c>
      <c r="E269">
        <f t="shared" si="32"/>
        <v>480</v>
      </c>
      <c r="F269">
        <v>396</v>
      </c>
      <c r="G269">
        <f t="shared" si="33"/>
        <v>272</v>
      </c>
      <c r="H269">
        <v>147</v>
      </c>
      <c r="I269">
        <v>779</v>
      </c>
      <c r="J269">
        <v>695</v>
      </c>
      <c r="K269">
        <v>564</v>
      </c>
      <c r="L269">
        <f t="shared" si="34"/>
        <v>480</v>
      </c>
      <c r="M269">
        <v>396</v>
      </c>
      <c r="N269">
        <f t="shared" si="35"/>
        <v>272</v>
      </c>
      <c r="O269">
        <v>147</v>
      </c>
      <c r="P269">
        <v>584</v>
      </c>
      <c r="Q269">
        <v>532</v>
      </c>
      <c r="R269">
        <v>441</v>
      </c>
      <c r="S269">
        <f t="shared" si="36"/>
        <v>382</v>
      </c>
      <c r="T269">
        <v>322</v>
      </c>
      <c r="U269">
        <f t="shared" si="37"/>
        <v>225</v>
      </c>
      <c r="V269">
        <v>128</v>
      </c>
      <c r="W269">
        <v>584</v>
      </c>
      <c r="X269">
        <v>532</v>
      </c>
      <c r="Y269">
        <v>441</v>
      </c>
      <c r="Z269">
        <f t="shared" si="38"/>
        <v>382</v>
      </c>
      <c r="AA269">
        <v>322</v>
      </c>
      <c r="AB269">
        <f t="shared" si="39"/>
        <v>225</v>
      </c>
      <c r="AC269">
        <v>128</v>
      </c>
    </row>
    <row r="270" spans="1:29" x14ac:dyDescent="0.25">
      <c r="A270" t="s">
        <v>278</v>
      </c>
      <c r="B270">
        <v>1312</v>
      </c>
      <c r="C270">
        <v>1152</v>
      </c>
      <c r="D270">
        <v>938</v>
      </c>
      <c r="E270">
        <f t="shared" si="32"/>
        <v>800</v>
      </c>
      <c r="F270">
        <v>662</v>
      </c>
      <c r="G270">
        <f t="shared" si="33"/>
        <v>457</v>
      </c>
      <c r="H270">
        <v>251</v>
      </c>
      <c r="I270">
        <v>1011</v>
      </c>
      <c r="J270">
        <v>877</v>
      </c>
      <c r="K270">
        <v>707</v>
      </c>
      <c r="L270">
        <f t="shared" si="34"/>
        <v>600</v>
      </c>
      <c r="M270">
        <v>493</v>
      </c>
      <c r="N270">
        <f t="shared" si="35"/>
        <v>339</v>
      </c>
      <c r="O270">
        <v>184</v>
      </c>
      <c r="P270">
        <v>984</v>
      </c>
      <c r="Q270">
        <v>881</v>
      </c>
      <c r="R270">
        <v>735</v>
      </c>
      <c r="S270">
        <f t="shared" si="36"/>
        <v>637</v>
      </c>
      <c r="T270">
        <v>538</v>
      </c>
      <c r="U270">
        <f t="shared" si="37"/>
        <v>379</v>
      </c>
      <c r="V270">
        <v>219</v>
      </c>
      <c r="W270">
        <v>758</v>
      </c>
      <c r="X270">
        <v>671</v>
      </c>
      <c r="Y270">
        <v>554</v>
      </c>
      <c r="Z270">
        <f t="shared" si="38"/>
        <v>477</v>
      </c>
      <c r="AA270">
        <v>400</v>
      </c>
      <c r="AB270">
        <f t="shared" si="39"/>
        <v>280</v>
      </c>
      <c r="AC270">
        <v>160</v>
      </c>
    </row>
    <row r="271" spans="1:29" x14ac:dyDescent="0.25">
      <c r="A271" t="s">
        <v>279</v>
      </c>
      <c r="B271">
        <v>1185</v>
      </c>
      <c r="C271">
        <v>1046</v>
      </c>
      <c r="D271">
        <v>857</v>
      </c>
      <c r="E271">
        <f t="shared" si="32"/>
        <v>733</v>
      </c>
      <c r="F271">
        <v>608</v>
      </c>
      <c r="G271">
        <f t="shared" si="33"/>
        <v>420</v>
      </c>
      <c r="H271">
        <v>231</v>
      </c>
      <c r="I271">
        <v>960</v>
      </c>
      <c r="J271">
        <v>835</v>
      </c>
      <c r="K271">
        <v>674</v>
      </c>
      <c r="L271">
        <f t="shared" si="34"/>
        <v>572</v>
      </c>
      <c r="M271">
        <v>470</v>
      </c>
      <c r="N271">
        <f t="shared" si="35"/>
        <v>323</v>
      </c>
      <c r="O271">
        <v>176</v>
      </c>
      <c r="P271">
        <v>888</v>
      </c>
      <c r="Q271">
        <v>800</v>
      </c>
      <c r="R271">
        <v>671</v>
      </c>
      <c r="S271">
        <f t="shared" si="36"/>
        <v>583</v>
      </c>
      <c r="T271">
        <v>494</v>
      </c>
      <c r="U271">
        <f t="shared" si="37"/>
        <v>348</v>
      </c>
      <c r="V271">
        <v>201</v>
      </c>
      <c r="W271">
        <v>720</v>
      </c>
      <c r="X271">
        <v>639</v>
      </c>
      <c r="Y271">
        <v>528</v>
      </c>
      <c r="Z271">
        <f t="shared" si="38"/>
        <v>455</v>
      </c>
      <c r="AA271">
        <v>382</v>
      </c>
      <c r="AB271">
        <f t="shared" si="39"/>
        <v>268</v>
      </c>
      <c r="AC271">
        <v>153</v>
      </c>
    </row>
    <row r="272" spans="1:29" x14ac:dyDescent="0.25">
      <c r="A272" t="s">
        <v>280</v>
      </c>
      <c r="B272">
        <v>1062</v>
      </c>
      <c r="C272">
        <v>935</v>
      </c>
      <c r="D272">
        <v>772</v>
      </c>
      <c r="E272">
        <f t="shared" si="32"/>
        <v>661</v>
      </c>
      <c r="F272">
        <v>550</v>
      </c>
      <c r="G272">
        <f t="shared" si="33"/>
        <v>380</v>
      </c>
      <c r="H272">
        <v>209</v>
      </c>
      <c r="I272">
        <v>916</v>
      </c>
      <c r="J272">
        <v>794</v>
      </c>
      <c r="K272">
        <v>643</v>
      </c>
      <c r="L272">
        <f t="shared" si="34"/>
        <v>546</v>
      </c>
      <c r="M272">
        <v>449</v>
      </c>
      <c r="N272">
        <f t="shared" si="35"/>
        <v>308</v>
      </c>
      <c r="O272">
        <v>167</v>
      </c>
      <c r="P272">
        <v>796</v>
      </c>
      <c r="Q272">
        <v>715</v>
      </c>
      <c r="R272">
        <v>604</v>
      </c>
      <c r="S272">
        <f t="shared" si="36"/>
        <v>526</v>
      </c>
      <c r="T272">
        <v>447</v>
      </c>
      <c r="U272">
        <f t="shared" si="37"/>
        <v>315</v>
      </c>
      <c r="V272">
        <v>182</v>
      </c>
      <c r="W272">
        <v>686</v>
      </c>
      <c r="X272">
        <v>607</v>
      </c>
      <c r="Y272">
        <v>503</v>
      </c>
      <c r="Z272">
        <f t="shared" si="38"/>
        <v>434</v>
      </c>
      <c r="AA272">
        <v>365</v>
      </c>
      <c r="AB272">
        <f t="shared" si="39"/>
        <v>255</v>
      </c>
      <c r="AC272">
        <v>145</v>
      </c>
    </row>
    <row r="273" spans="1:29" x14ac:dyDescent="0.25">
      <c r="A273" t="s">
        <v>281</v>
      </c>
      <c r="B273">
        <v>919</v>
      </c>
      <c r="C273">
        <v>815</v>
      </c>
      <c r="D273">
        <v>677</v>
      </c>
      <c r="E273">
        <f t="shared" si="32"/>
        <v>581</v>
      </c>
      <c r="F273">
        <v>485</v>
      </c>
      <c r="G273">
        <f t="shared" si="33"/>
        <v>334</v>
      </c>
      <c r="H273">
        <v>183</v>
      </c>
      <c r="I273">
        <v>862</v>
      </c>
      <c r="J273">
        <v>749</v>
      </c>
      <c r="K273">
        <v>608</v>
      </c>
      <c r="L273">
        <f t="shared" si="34"/>
        <v>517</v>
      </c>
      <c r="M273">
        <v>425</v>
      </c>
      <c r="N273">
        <f t="shared" si="35"/>
        <v>291</v>
      </c>
      <c r="O273">
        <v>157</v>
      </c>
      <c r="P273">
        <v>689</v>
      </c>
      <c r="Q273">
        <v>623</v>
      </c>
      <c r="R273">
        <v>530</v>
      </c>
      <c r="S273">
        <f t="shared" si="36"/>
        <v>462</v>
      </c>
      <c r="T273">
        <v>394</v>
      </c>
      <c r="U273">
        <f t="shared" si="37"/>
        <v>277</v>
      </c>
      <c r="V273">
        <v>160</v>
      </c>
      <c r="W273">
        <v>646</v>
      </c>
      <c r="X273">
        <v>572</v>
      </c>
      <c r="Y273">
        <v>476</v>
      </c>
      <c r="Z273">
        <f t="shared" si="38"/>
        <v>411</v>
      </c>
      <c r="AA273">
        <v>345</v>
      </c>
      <c r="AB273">
        <f t="shared" si="39"/>
        <v>241</v>
      </c>
      <c r="AC273">
        <v>137</v>
      </c>
    </row>
    <row r="274" spans="1:29" x14ac:dyDescent="0.25">
      <c r="A274" t="s">
        <v>282</v>
      </c>
      <c r="B274">
        <v>828</v>
      </c>
      <c r="C274">
        <v>735</v>
      </c>
      <c r="D274">
        <v>591</v>
      </c>
      <c r="E274">
        <f t="shared" si="32"/>
        <v>503</v>
      </c>
      <c r="F274">
        <v>415</v>
      </c>
      <c r="G274">
        <f t="shared" si="33"/>
        <v>285</v>
      </c>
      <c r="H274">
        <v>154</v>
      </c>
      <c r="I274">
        <v>828</v>
      </c>
      <c r="J274">
        <v>735</v>
      </c>
      <c r="K274">
        <v>591</v>
      </c>
      <c r="L274">
        <f t="shared" si="34"/>
        <v>503</v>
      </c>
      <c r="M274">
        <v>415</v>
      </c>
      <c r="N274">
        <f t="shared" si="35"/>
        <v>285</v>
      </c>
      <c r="O274">
        <v>154</v>
      </c>
      <c r="P274">
        <v>621</v>
      </c>
      <c r="Q274">
        <v>562</v>
      </c>
      <c r="R274">
        <v>463</v>
      </c>
      <c r="S274">
        <f t="shared" si="36"/>
        <v>400</v>
      </c>
      <c r="T274">
        <v>337</v>
      </c>
      <c r="U274">
        <f t="shared" si="37"/>
        <v>236</v>
      </c>
      <c r="V274">
        <v>134</v>
      </c>
      <c r="W274">
        <v>621</v>
      </c>
      <c r="X274">
        <v>562</v>
      </c>
      <c r="Y274">
        <v>463</v>
      </c>
      <c r="Z274">
        <f t="shared" si="38"/>
        <v>400</v>
      </c>
      <c r="AA274">
        <v>337</v>
      </c>
      <c r="AB274">
        <f t="shared" si="39"/>
        <v>236</v>
      </c>
      <c r="AC274">
        <v>134</v>
      </c>
    </row>
    <row r="275" spans="1:29" x14ac:dyDescent="0.25">
      <c r="A275" t="s">
        <v>283</v>
      </c>
      <c r="B275">
        <v>774</v>
      </c>
      <c r="C275">
        <v>690</v>
      </c>
      <c r="D275">
        <v>559</v>
      </c>
      <c r="E275">
        <f t="shared" si="32"/>
        <v>477</v>
      </c>
      <c r="F275">
        <v>394</v>
      </c>
      <c r="G275">
        <f t="shared" si="33"/>
        <v>271</v>
      </c>
      <c r="H275">
        <v>147</v>
      </c>
      <c r="I275">
        <v>774</v>
      </c>
      <c r="J275">
        <v>690</v>
      </c>
      <c r="K275">
        <v>559</v>
      </c>
      <c r="L275">
        <f t="shared" si="34"/>
        <v>477</v>
      </c>
      <c r="M275">
        <v>394</v>
      </c>
      <c r="N275">
        <f t="shared" si="35"/>
        <v>271</v>
      </c>
      <c r="O275">
        <v>147</v>
      </c>
      <c r="P275">
        <v>580</v>
      </c>
      <c r="Q275">
        <v>528</v>
      </c>
      <c r="R275">
        <v>437</v>
      </c>
      <c r="S275">
        <f t="shared" si="36"/>
        <v>379</v>
      </c>
      <c r="T275">
        <v>320</v>
      </c>
      <c r="U275">
        <f t="shared" si="37"/>
        <v>224</v>
      </c>
      <c r="V275">
        <v>128</v>
      </c>
      <c r="W275">
        <v>580</v>
      </c>
      <c r="X275">
        <v>528</v>
      </c>
      <c r="Y275">
        <v>437</v>
      </c>
      <c r="Z275">
        <f t="shared" si="38"/>
        <v>379</v>
      </c>
      <c r="AA275">
        <v>320</v>
      </c>
      <c r="AB275">
        <f t="shared" si="39"/>
        <v>224</v>
      </c>
      <c r="AC275">
        <v>128</v>
      </c>
    </row>
    <row r="276" spans="1:29" x14ac:dyDescent="0.25">
      <c r="A276" t="s">
        <v>284</v>
      </c>
      <c r="B276">
        <v>717</v>
      </c>
      <c r="C276">
        <v>641</v>
      </c>
      <c r="D276">
        <v>528</v>
      </c>
      <c r="E276">
        <f t="shared" si="32"/>
        <v>451</v>
      </c>
      <c r="F276">
        <v>374</v>
      </c>
      <c r="G276">
        <f t="shared" si="33"/>
        <v>255</v>
      </c>
      <c r="H276">
        <v>136</v>
      </c>
      <c r="I276">
        <v>717</v>
      </c>
      <c r="J276">
        <v>641</v>
      </c>
      <c r="K276">
        <v>528</v>
      </c>
      <c r="L276">
        <f t="shared" si="34"/>
        <v>451</v>
      </c>
      <c r="M276">
        <v>374</v>
      </c>
      <c r="N276">
        <f t="shared" si="35"/>
        <v>255</v>
      </c>
      <c r="O276">
        <v>136</v>
      </c>
      <c r="P276">
        <v>537</v>
      </c>
      <c r="Q276">
        <v>490</v>
      </c>
      <c r="R276">
        <v>413</v>
      </c>
      <c r="S276">
        <f t="shared" si="36"/>
        <v>359</v>
      </c>
      <c r="T276">
        <v>304</v>
      </c>
      <c r="U276">
        <f t="shared" si="37"/>
        <v>211</v>
      </c>
      <c r="V276">
        <v>118</v>
      </c>
      <c r="W276">
        <v>537</v>
      </c>
      <c r="X276">
        <v>490</v>
      </c>
      <c r="Y276">
        <v>413</v>
      </c>
      <c r="Z276">
        <f t="shared" si="38"/>
        <v>359</v>
      </c>
      <c r="AA276">
        <v>304</v>
      </c>
      <c r="AB276">
        <f t="shared" si="39"/>
        <v>211</v>
      </c>
      <c r="AC276">
        <v>118</v>
      </c>
    </row>
    <row r="277" spans="1:29" x14ac:dyDescent="0.25">
      <c r="A277" t="s">
        <v>285</v>
      </c>
      <c r="B277">
        <v>1180</v>
      </c>
      <c r="C277">
        <v>1039</v>
      </c>
      <c r="D277">
        <v>850</v>
      </c>
      <c r="E277">
        <f t="shared" si="32"/>
        <v>726</v>
      </c>
      <c r="F277">
        <v>601</v>
      </c>
      <c r="G277">
        <f t="shared" si="33"/>
        <v>414</v>
      </c>
      <c r="H277">
        <v>226</v>
      </c>
      <c r="I277">
        <v>958</v>
      </c>
      <c r="J277">
        <v>833</v>
      </c>
      <c r="K277">
        <v>672</v>
      </c>
      <c r="L277">
        <f t="shared" si="34"/>
        <v>570</v>
      </c>
      <c r="M277">
        <v>468</v>
      </c>
      <c r="N277">
        <f t="shared" si="35"/>
        <v>321</v>
      </c>
      <c r="O277">
        <v>174</v>
      </c>
      <c r="P277">
        <v>884</v>
      </c>
      <c r="Q277">
        <v>795</v>
      </c>
      <c r="R277">
        <v>665</v>
      </c>
      <c r="S277">
        <f t="shared" si="36"/>
        <v>577</v>
      </c>
      <c r="T277">
        <v>488</v>
      </c>
      <c r="U277">
        <f t="shared" si="37"/>
        <v>343</v>
      </c>
      <c r="V277">
        <v>197</v>
      </c>
      <c r="W277">
        <v>718</v>
      </c>
      <c r="X277">
        <v>637</v>
      </c>
      <c r="Y277">
        <v>526</v>
      </c>
      <c r="Z277">
        <f t="shared" si="38"/>
        <v>453</v>
      </c>
      <c r="AA277">
        <v>380</v>
      </c>
      <c r="AB277">
        <f t="shared" si="39"/>
        <v>266</v>
      </c>
      <c r="AC277">
        <v>151</v>
      </c>
    </row>
    <row r="278" spans="1:29" x14ac:dyDescent="0.25">
      <c r="A278" t="s">
        <v>286</v>
      </c>
      <c r="B278">
        <v>1055</v>
      </c>
      <c r="C278">
        <v>927</v>
      </c>
      <c r="D278">
        <v>763</v>
      </c>
      <c r="E278">
        <f t="shared" si="32"/>
        <v>653</v>
      </c>
      <c r="F278">
        <v>543</v>
      </c>
      <c r="G278">
        <f t="shared" si="33"/>
        <v>375</v>
      </c>
      <c r="H278">
        <v>206</v>
      </c>
      <c r="I278">
        <v>914</v>
      </c>
      <c r="J278">
        <v>789</v>
      </c>
      <c r="K278">
        <v>639</v>
      </c>
      <c r="L278">
        <f t="shared" si="34"/>
        <v>543</v>
      </c>
      <c r="M278">
        <v>446</v>
      </c>
      <c r="N278">
        <f t="shared" si="35"/>
        <v>306</v>
      </c>
      <c r="O278">
        <v>166</v>
      </c>
      <c r="P278">
        <v>791</v>
      </c>
      <c r="Q278">
        <v>710</v>
      </c>
      <c r="R278">
        <v>597</v>
      </c>
      <c r="S278">
        <f t="shared" si="36"/>
        <v>519</v>
      </c>
      <c r="T278">
        <v>441</v>
      </c>
      <c r="U278">
        <f t="shared" si="37"/>
        <v>310</v>
      </c>
      <c r="V278">
        <v>179</v>
      </c>
      <c r="W278">
        <v>685</v>
      </c>
      <c r="X278">
        <v>604</v>
      </c>
      <c r="Y278">
        <v>500</v>
      </c>
      <c r="Z278">
        <f t="shared" si="38"/>
        <v>432</v>
      </c>
      <c r="AA278">
        <v>363</v>
      </c>
      <c r="AB278">
        <f t="shared" si="39"/>
        <v>254</v>
      </c>
      <c r="AC278">
        <v>144</v>
      </c>
    </row>
    <row r="279" spans="1:29" x14ac:dyDescent="0.25">
      <c r="A279" t="s">
        <v>287</v>
      </c>
      <c r="B279">
        <v>915</v>
      </c>
      <c r="C279">
        <v>810</v>
      </c>
      <c r="D279">
        <v>672</v>
      </c>
      <c r="E279">
        <f t="shared" si="32"/>
        <v>577</v>
      </c>
      <c r="F279">
        <v>481</v>
      </c>
      <c r="G279">
        <f t="shared" si="33"/>
        <v>331</v>
      </c>
      <c r="H279">
        <v>181</v>
      </c>
      <c r="I279">
        <v>861</v>
      </c>
      <c r="J279">
        <v>747</v>
      </c>
      <c r="K279">
        <v>606</v>
      </c>
      <c r="L279">
        <f t="shared" si="34"/>
        <v>515</v>
      </c>
      <c r="M279">
        <v>423</v>
      </c>
      <c r="N279">
        <f t="shared" si="35"/>
        <v>290</v>
      </c>
      <c r="O279">
        <v>156</v>
      </c>
      <c r="P279">
        <v>686</v>
      </c>
      <c r="Q279">
        <v>620</v>
      </c>
      <c r="R279">
        <v>526</v>
      </c>
      <c r="S279">
        <f t="shared" si="36"/>
        <v>459</v>
      </c>
      <c r="T279">
        <v>391</v>
      </c>
      <c r="U279">
        <f t="shared" si="37"/>
        <v>275</v>
      </c>
      <c r="V279">
        <v>158</v>
      </c>
      <c r="W279">
        <v>645</v>
      </c>
      <c r="X279">
        <v>572</v>
      </c>
      <c r="Y279">
        <v>475</v>
      </c>
      <c r="Z279">
        <f t="shared" si="38"/>
        <v>410</v>
      </c>
      <c r="AA279">
        <v>344</v>
      </c>
      <c r="AB279">
        <f t="shared" si="39"/>
        <v>240</v>
      </c>
      <c r="AC279">
        <v>136</v>
      </c>
    </row>
    <row r="280" spans="1:29" x14ac:dyDescent="0.25">
      <c r="A280" t="s">
        <v>288</v>
      </c>
      <c r="B280">
        <v>821</v>
      </c>
      <c r="C280">
        <v>728</v>
      </c>
      <c r="D280">
        <v>587</v>
      </c>
      <c r="E280">
        <f t="shared" si="32"/>
        <v>499</v>
      </c>
      <c r="F280">
        <v>411</v>
      </c>
      <c r="G280">
        <f t="shared" si="33"/>
        <v>281</v>
      </c>
      <c r="H280">
        <v>151</v>
      </c>
      <c r="I280">
        <v>821</v>
      </c>
      <c r="J280">
        <v>728</v>
      </c>
      <c r="K280">
        <v>587</v>
      </c>
      <c r="L280">
        <f t="shared" si="34"/>
        <v>499</v>
      </c>
      <c r="M280">
        <v>411</v>
      </c>
      <c r="N280">
        <f t="shared" si="35"/>
        <v>281</v>
      </c>
      <c r="O280">
        <v>151</v>
      </c>
      <c r="P280">
        <v>616</v>
      </c>
      <c r="Q280">
        <v>557</v>
      </c>
      <c r="R280">
        <v>459</v>
      </c>
      <c r="S280">
        <f t="shared" si="36"/>
        <v>397</v>
      </c>
      <c r="T280">
        <v>334</v>
      </c>
      <c r="U280">
        <f t="shared" si="37"/>
        <v>233</v>
      </c>
      <c r="V280">
        <v>132</v>
      </c>
      <c r="W280">
        <v>616</v>
      </c>
      <c r="X280">
        <v>557</v>
      </c>
      <c r="Y280">
        <v>459</v>
      </c>
      <c r="Z280">
        <f t="shared" si="38"/>
        <v>397</v>
      </c>
      <c r="AA280">
        <v>334</v>
      </c>
      <c r="AB280">
        <f t="shared" si="39"/>
        <v>233</v>
      </c>
      <c r="AC280">
        <v>132</v>
      </c>
    </row>
    <row r="281" spans="1:29" x14ac:dyDescent="0.25">
      <c r="A281" t="s">
        <v>289</v>
      </c>
      <c r="B281">
        <v>768</v>
      </c>
      <c r="C281">
        <v>684</v>
      </c>
      <c r="D281">
        <v>554</v>
      </c>
      <c r="E281">
        <f t="shared" si="32"/>
        <v>472</v>
      </c>
      <c r="F281">
        <v>390</v>
      </c>
      <c r="G281">
        <f t="shared" si="33"/>
        <v>267</v>
      </c>
      <c r="H281">
        <v>144</v>
      </c>
      <c r="I281">
        <v>768</v>
      </c>
      <c r="J281">
        <v>684</v>
      </c>
      <c r="K281">
        <v>554</v>
      </c>
      <c r="L281">
        <f t="shared" si="34"/>
        <v>472</v>
      </c>
      <c r="M281">
        <v>390</v>
      </c>
      <c r="N281">
        <f t="shared" si="35"/>
        <v>267</v>
      </c>
      <c r="O281">
        <v>144</v>
      </c>
      <c r="P281">
        <v>575</v>
      </c>
      <c r="Q281">
        <v>523</v>
      </c>
      <c r="R281">
        <v>434</v>
      </c>
      <c r="S281">
        <f t="shared" si="36"/>
        <v>376</v>
      </c>
      <c r="T281">
        <v>317</v>
      </c>
      <c r="U281">
        <f t="shared" si="37"/>
        <v>221</v>
      </c>
      <c r="V281">
        <v>125</v>
      </c>
      <c r="W281">
        <v>575</v>
      </c>
      <c r="X281">
        <v>523</v>
      </c>
      <c r="Y281">
        <v>434</v>
      </c>
      <c r="Z281">
        <f t="shared" si="38"/>
        <v>376</v>
      </c>
      <c r="AA281">
        <v>317</v>
      </c>
      <c r="AB281">
        <f t="shared" si="39"/>
        <v>221</v>
      </c>
      <c r="AC281">
        <v>125</v>
      </c>
    </row>
    <row r="282" spans="1:29" x14ac:dyDescent="0.25">
      <c r="A282" t="s">
        <v>290</v>
      </c>
      <c r="B282">
        <v>713</v>
      </c>
      <c r="C282">
        <v>637</v>
      </c>
      <c r="D282">
        <v>525</v>
      </c>
      <c r="E282">
        <f t="shared" si="32"/>
        <v>446</v>
      </c>
      <c r="F282">
        <v>367</v>
      </c>
      <c r="G282">
        <f t="shared" si="33"/>
        <v>252</v>
      </c>
      <c r="H282">
        <v>136</v>
      </c>
      <c r="I282">
        <v>713</v>
      </c>
      <c r="J282">
        <v>637</v>
      </c>
      <c r="K282">
        <v>525</v>
      </c>
      <c r="L282">
        <f t="shared" si="34"/>
        <v>446</v>
      </c>
      <c r="M282">
        <v>367</v>
      </c>
      <c r="N282">
        <f t="shared" si="35"/>
        <v>252</v>
      </c>
      <c r="O282">
        <v>136</v>
      </c>
      <c r="P282">
        <v>534</v>
      </c>
      <c r="Q282">
        <v>487</v>
      </c>
      <c r="R282">
        <v>411</v>
      </c>
      <c r="S282">
        <f t="shared" si="36"/>
        <v>355</v>
      </c>
      <c r="T282">
        <v>298</v>
      </c>
      <c r="U282">
        <f t="shared" si="37"/>
        <v>208</v>
      </c>
      <c r="V282">
        <v>118</v>
      </c>
      <c r="W282">
        <v>534</v>
      </c>
      <c r="X282">
        <v>487</v>
      </c>
      <c r="Y282">
        <v>411</v>
      </c>
      <c r="Z282">
        <f t="shared" si="38"/>
        <v>355</v>
      </c>
      <c r="AA282">
        <v>298</v>
      </c>
      <c r="AB282">
        <f t="shared" si="39"/>
        <v>208</v>
      </c>
      <c r="AC282">
        <v>118</v>
      </c>
    </row>
    <row r="283" spans="1:29" x14ac:dyDescent="0.25">
      <c r="A283" t="s">
        <v>291</v>
      </c>
      <c r="B283">
        <v>653</v>
      </c>
      <c r="C283">
        <v>586</v>
      </c>
      <c r="D283">
        <v>485</v>
      </c>
      <c r="E283">
        <f t="shared" si="32"/>
        <v>414</v>
      </c>
      <c r="F283">
        <v>343</v>
      </c>
      <c r="G283">
        <f t="shared" si="33"/>
        <v>234</v>
      </c>
      <c r="H283">
        <v>125</v>
      </c>
      <c r="I283">
        <v>653</v>
      </c>
      <c r="J283">
        <v>586</v>
      </c>
      <c r="K283">
        <v>485</v>
      </c>
      <c r="L283">
        <f t="shared" si="34"/>
        <v>414</v>
      </c>
      <c r="M283">
        <v>343</v>
      </c>
      <c r="N283">
        <f t="shared" si="35"/>
        <v>234</v>
      </c>
      <c r="O283">
        <v>125</v>
      </c>
      <c r="P283">
        <v>489</v>
      </c>
      <c r="Q283">
        <v>448</v>
      </c>
      <c r="R283">
        <v>379</v>
      </c>
      <c r="S283">
        <f t="shared" si="36"/>
        <v>329</v>
      </c>
      <c r="T283">
        <v>279</v>
      </c>
      <c r="U283">
        <f t="shared" si="37"/>
        <v>194</v>
      </c>
      <c r="V283">
        <v>109</v>
      </c>
      <c r="W283">
        <v>489</v>
      </c>
      <c r="X283">
        <v>448</v>
      </c>
      <c r="Y283">
        <v>379</v>
      </c>
      <c r="Z283">
        <f t="shared" si="38"/>
        <v>329</v>
      </c>
      <c r="AA283">
        <v>279</v>
      </c>
      <c r="AB283">
        <f t="shared" si="39"/>
        <v>194</v>
      </c>
      <c r="AC283">
        <v>109</v>
      </c>
    </row>
    <row r="284" spans="1:29" x14ac:dyDescent="0.25">
      <c r="A284" t="s">
        <v>292</v>
      </c>
      <c r="B284">
        <v>1048</v>
      </c>
      <c r="C284">
        <v>920</v>
      </c>
      <c r="D284">
        <v>754</v>
      </c>
      <c r="E284">
        <f t="shared" si="32"/>
        <v>645</v>
      </c>
      <c r="F284">
        <v>535</v>
      </c>
      <c r="G284">
        <f t="shared" si="33"/>
        <v>368</v>
      </c>
      <c r="H284">
        <v>201</v>
      </c>
      <c r="I284">
        <v>910</v>
      </c>
      <c r="J284">
        <v>788</v>
      </c>
      <c r="K284">
        <v>636</v>
      </c>
      <c r="L284">
        <f t="shared" si="34"/>
        <v>540</v>
      </c>
      <c r="M284">
        <v>444</v>
      </c>
      <c r="N284">
        <f t="shared" si="35"/>
        <v>304</v>
      </c>
      <c r="O284">
        <v>164</v>
      </c>
      <c r="P284">
        <v>786</v>
      </c>
      <c r="Q284">
        <v>704</v>
      </c>
      <c r="R284">
        <v>591</v>
      </c>
      <c r="S284">
        <f t="shared" si="36"/>
        <v>513</v>
      </c>
      <c r="T284">
        <v>435</v>
      </c>
      <c r="U284">
        <f t="shared" si="37"/>
        <v>305</v>
      </c>
      <c r="V284">
        <v>175</v>
      </c>
      <c r="W284">
        <v>683</v>
      </c>
      <c r="X284">
        <v>603</v>
      </c>
      <c r="Y284">
        <v>499</v>
      </c>
      <c r="Z284">
        <f t="shared" si="38"/>
        <v>430</v>
      </c>
      <c r="AA284">
        <v>361</v>
      </c>
      <c r="AB284">
        <f t="shared" si="39"/>
        <v>252</v>
      </c>
      <c r="AC284">
        <v>142</v>
      </c>
    </row>
    <row r="285" spans="1:29" x14ac:dyDescent="0.25">
      <c r="A285" t="s">
        <v>293</v>
      </c>
      <c r="B285">
        <v>907</v>
      </c>
      <c r="C285">
        <v>802</v>
      </c>
      <c r="D285">
        <v>663</v>
      </c>
      <c r="E285">
        <f t="shared" si="32"/>
        <v>569</v>
      </c>
      <c r="F285">
        <v>474</v>
      </c>
      <c r="G285">
        <f t="shared" si="33"/>
        <v>327</v>
      </c>
      <c r="H285">
        <v>179</v>
      </c>
      <c r="I285">
        <v>857</v>
      </c>
      <c r="J285">
        <v>744</v>
      </c>
      <c r="K285">
        <v>602</v>
      </c>
      <c r="L285">
        <f t="shared" si="34"/>
        <v>512</v>
      </c>
      <c r="M285">
        <v>421</v>
      </c>
      <c r="N285">
        <f t="shared" si="35"/>
        <v>289</v>
      </c>
      <c r="O285">
        <v>156</v>
      </c>
      <c r="P285">
        <v>680</v>
      </c>
      <c r="Q285">
        <v>614</v>
      </c>
      <c r="R285">
        <v>519</v>
      </c>
      <c r="S285">
        <f t="shared" si="36"/>
        <v>452</v>
      </c>
      <c r="T285">
        <v>385</v>
      </c>
      <c r="U285">
        <f t="shared" si="37"/>
        <v>271</v>
      </c>
      <c r="V285">
        <v>156</v>
      </c>
      <c r="W285">
        <v>643</v>
      </c>
      <c r="X285">
        <v>570</v>
      </c>
      <c r="Y285">
        <v>471</v>
      </c>
      <c r="Z285">
        <f t="shared" si="38"/>
        <v>407</v>
      </c>
      <c r="AA285">
        <v>342</v>
      </c>
      <c r="AB285">
        <f t="shared" si="39"/>
        <v>239</v>
      </c>
      <c r="AC285">
        <v>136</v>
      </c>
    </row>
    <row r="286" spans="1:29" x14ac:dyDescent="0.25">
      <c r="A286" t="s">
        <v>294</v>
      </c>
      <c r="B286">
        <v>814</v>
      </c>
      <c r="C286">
        <v>721</v>
      </c>
      <c r="D286">
        <v>581</v>
      </c>
      <c r="E286">
        <f t="shared" si="32"/>
        <v>494</v>
      </c>
      <c r="F286">
        <v>406</v>
      </c>
      <c r="G286">
        <f t="shared" si="33"/>
        <v>278</v>
      </c>
      <c r="H286">
        <v>150</v>
      </c>
      <c r="I286">
        <v>814</v>
      </c>
      <c r="J286">
        <v>721</v>
      </c>
      <c r="K286">
        <v>581</v>
      </c>
      <c r="L286">
        <f t="shared" si="34"/>
        <v>494</v>
      </c>
      <c r="M286">
        <v>406</v>
      </c>
      <c r="N286">
        <f t="shared" si="35"/>
        <v>275</v>
      </c>
      <c r="O286">
        <v>143</v>
      </c>
      <c r="P286">
        <v>610</v>
      </c>
      <c r="Q286">
        <v>552</v>
      </c>
      <c r="R286">
        <v>455</v>
      </c>
      <c r="S286">
        <f t="shared" si="36"/>
        <v>393</v>
      </c>
      <c r="T286">
        <v>330</v>
      </c>
      <c r="U286">
        <f t="shared" si="37"/>
        <v>230</v>
      </c>
      <c r="V286">
        <v>130</v>
      </c>
      <c r="W286">
        <v>610</v>
      </c>
      <c r="X286">
        <v>552</v>
      </c>
      <c r="Y286">
        <v>455</v>
      </c>
      <c r="Z286">
        <f t="shared" si="38"/>
        <v>393</v>
      </c>
      <c r="AA286">
        <v>330</v>
      </c>
      <c r="AB286">
        <f t="shared" si="39"/>
        <v>227</v>
      </c>
      <c r="AC286">
        <v>124</v>
      </c>
    </row>
    <row r="287" spans="1:29" x14ac:dyDescent="0.25">
      <c r="A287" t="s">
        <v>295</v>
      </c>
      <c r="B287">
        <v>761</v>
      </c>
      <c r="C287">
        <v>677</v>
      </c>
      <c r="D287">
        <v>548</v>
      </c>
      <c r="E287">
        <f t="shared" si="32"/>
        <v>467</v>
      </c>
      <c r="F287">
        <v>385</v>
      </c>
      <c r="G287">
        <f t="shared" si="33"/>
        <v>263</v>
      </c>
      <c r="H287">
        <v>141</v>
      </c>
      <c r="I287">
        <v>761</v>
      </c>
      <c r="J287">
        <v>677</v>
      </c>
      <c r="K287">
        <v>548</v>
      </c>
      <c r="L287">
        <f t="shared" si="34"/>
        <v>467</v>
      </c>
      <c r="M287">
        <v>385</v>
      </c>
      <c r="N287">
        <f t="shared" si="35"/>
        <v>263</v>
      </c>
      <c r="O287">
        <v>141</v>
      </c>
      <c r="P287">
        <v>570</v>
      </c>
      <c r="Q287">
        <v>518</v>
      </c>
      <c r="R287">
        <v>429</v>
      </c>
      <c r="S287">
        <f t="shared" si="36"/>
        <v>371</v>
      </c>
      <c r="T287">
        <v>313</v>
      </c>
      <c r="U287">
        <f t="shared" si="37"/>
        <v>218</v>
      </c>
      <c r="V287">
        <v>123</v>
      </c>
      <c r="W287">
        <v>570</v>
      </c>
      <c r="X287">
        <v>518</v>
      </c>
      <c r="Y287">
        <v>429</v>
      </c>
      <c r="Z287">
        <f t="shared" si="38"/>
        <v>371</v>
      </c>
      <c r="AA287">
        <v>313</v>
      </c>
      <c r="AB287">
        <f t="shared" si="39"/>
        <v>218</v>
      </c>
      <c r="AC287">
        <v>123</v>
      </c>
    </row>
    <row r="288" spans="1:29" x14ac:dyDescent="0.25">
      <c r="A288" t="s">
        <v>296</v>
      </c>
      <c r="B288">
        <v>706</v>
      </c>
      <c r="C288">
        <v>630</v>
      </c>
      <c r="D288">
        <v>520</v>
      </c>
      <c r="E288">
        <f t="shared" si="32"/>
        <v>442</v>
      </c>
      <c r="F288">
        <v>364</v>
      </c>
      <c r="G288">
        <f t="shared" si="33"/>
        <v>250</v>
      </c>
      <c r="H288">
        <v>136</v>
      </c>
      <c r="I288">
        <v>706</v>
      </c>
      <c r="J288">
        <v>630</v>
      </c>
      <c r="K288">
        <v>520</v>
      </c>
      <c r="L288">
        <f t="shared" si="34"/>
        <v>442</v>
      </c>
      <c r="M288">
        <v>364</v>
      </c>
      <c r="N288">
        <f t="shared" si="35"/>
        <v>250</v>
      </c>
      <c r="O288">
        <v>136</v>
      </c>
      <c r="P288">
        <v>529</v>
      </c>
      <c r="Q288">
        <v>482</v>
      </c>
      <c r="R288">
        <v>407</v>
      </c>
      <c r="S288">
        <f t="shared" si="36"/>
        <v>351</v>
      </c>
      <c r="T288">
        <v>295</v>
      </c>
      <c r="U288">
        <f t="shared" si="37"/>
        <v>207</v>
      </c>
      <c r="V288">
        <v>118</v>
      </c>
      <c r="W288">
        <v>529</v>
      </c>
      <c r="X288">
        <v>482</v>
      </c>
      <c r="Y288">
        <v>407</v>
      </c>
      <c r="Z288">
        <f t="shared" si="38"/>
        <v>351</v>
      </c>
      <c r="AA288">
        <v>295</v>
      </c>
      <c r="AB288">
        <f t="shared" si="39"/>
        <v>207</v>
      </c>
      <c r="AC288">
        <v>118</v>
      </c>
    </row>
    <row r="289" spans="1:29" x14ac:dyDescent="0.25">
      <c r="A289" t="s">
        <v>297</v>
      </c>
      <c r="B289">
        <v>649</v>
      </c>
      <c r="C289">
        <v>582</v>
      </c>
      <c r="D289">
        <v>482</v>
      </c>
      <c r="E289">
        <f t="shared" si="32"/>
        <v>413</v>
      </c>
      <c r="F289">
        <v>343</v>
      </c>
      <c r="G289">
        <f t="shared" si="33"/>
        <v>234</v>
      </c>
      <c r="H289">
        <v>125</v>
      </c>
      <c r="I289">
        <v>649</v>
      </c>
      <c r="J289">
        <v>582</v>
      </c>
      <c r="K289">
        <v>482</v>
      </c>
      <c r="L289">
        <f t="shared" si="34"/>
        <v>413</v>
      </c>
      <c r="M289">
        <v>343</v>
      </c>
      <c r="N289">
        <f t="shared" si="35"/>
        <v>234</v>
      </c>
      <c r="O289">
        <v>125</v>
      </c>
      <c r="P289">
        <v>486</v>
      </c>
      <c r="Q289">
        <v>446</v>
      </c>
      <c r="R289">
        <v>377</v>
      </c>
      <c r="S289">
        <f t="shared" si="36"/>
        <v>328</v>
      </c>
      <c r="T289">
        <v>279</v>
      </c>
      <c r="U289">
        <f t="shared" si="37"/>
        <v>194</v>
      </c>
      <c r="V289">
        <v>109</v>
      </c>
      <c r="W289">
        <v>486</v>
      </c>
      <c r="X289">
        <v>446</v>
      </c>
      <c r="Y289">
        <v>377</v>
      </c>
      <c r="Z289">
        <f t="shared" si="38"/>
        <v>328</v>
      </c>
      <c r="AA289">
        <v>279</v>
      </c>
      <c r="AB289">
        <f t="shared" si="39"/>
        <v>194</v>
      </c>
      <c r="AC289">
        <v>109</v>
      </c>
    </row>
    <row r="290" spans="1:29" x14ac:dyDescent="0.25">
      <c r="A290" t="s">
        <v>298</v>
      </c>
      <c r="B290">
        <v>586</v>
      </c>
      <c r="C290">
        <v>529</v>
      </c>
      <c r="D290">
        <v>439</v>
      </c>
      <c r="E290">
        <f t="shared" si="32"/>
        <v>376</v>
      </c>
      <c r="F290">
        <v>313</v>
      </c>
      <c r="G290">
        <f t="shared" si="33"/>
        <v>213</v>
      </c>
      <c r="H290">
        <v>113</v>
      </c>
      <c r="I290">
        <v>586</v>
      </c>
      <c r="J290">
        <v>529</v>
      </c>
      <c r="K290">
        <v>439</v>
      </c>
      <c r="L290">
        <f t="shared" si="34"/>
        <v>376</v>
      </c>
      <c r="M290">
        <v>313</v>
      </c>
      <c r="N290">
        <f t="shared" si="35"/>
        <v>213</v>
      </c>
      <c r="O290">
        <v>113</v>
      </c>
      <c r="P290">
        <v>440</v>
      </c>
      <c r="Q290">
        <v>404</v>
      </c>
      <c r="R290">
        <v>344</v>
      </c>
      <c r="S290">
        <f t="shared" si="36"/>
        <v>300</v>
      </c>
      <c r="T290">
        <v>255</v>
      </c>
      <c r="U290">
        <f t="shared" si="37"/>
        <v>177</v>
      </c>
      <c r="V290">
        <v>99</v>
      </c>
      <c r="W290">
        <v>440</v>
      </c>
      <c r="X290">
        <v>404</v>
      </c>
      <c r="Y290">
        <v>344</v>
      </c>
      <c r="Z290">
        <f t="shared" si="38"/>
        <v>300</v>
      </c>
      <c r="AA290">
        <v>255</v>
      </c>
      <c r="AB290">
        <f t="shared" si="39"/>
        <v>177</v>
      </c>
      <c r="AC290">
        <v>99</v>
      </c>
    </row>
    <row r="291" spans="1:29" x14ac:dyDescent="0.25">
      <c r="A291" t="s">
        <v>299</v>
      </c>
      <c r="B291">
        <v>899</v>
      </c>
      <c r="C291">
        <v>792</v>
      </c>
      <c r="D291">
        <v>655</v>
      </c>
      <c r="E291">
        <f t="shared" si="32"/>
        <v>561</v>
      </c>
      <c r="F291">
        <v>466</v>
      </c>
      <c r="G291">
        <f t="shared" si="33"/>
        <v>321</v>
      </c>
      <c r="H291">
        <v>175</v>
      </c>
      <c r="I291">
        <v>854</v>
      </c>
      <c r="J291">
        <v>741</v>
      </c>
      <c r="K291">
        <v>600</v>
      </c>
      <c r="L291">
        <f t="shared" si="34"/>
        <v>509</v>
      </c>
      <c r="M291">
        <v>418</v>
      </c>
      <c r="N291">
        <f t="shared" si="35"/>
        <v>286</v>
      </c>
      <c r="O291">
        <v>154</v>
      </c>
      <c r="P291">
        <v>674</v>
      </c>
      <c r="Q291">
        <v>606</v>
      </c>
      <c r="R291">
        <v>513</v>
      </c>
      <c r="S291">
        <f t="shared" si="36"/>
        <v>446</v>
      </c>
      <c r="T291">
        <v>379</v>
      </c>
      <c r="U291">
        <f t="shared" si="37"/>
        <v>266</v>
      </c>
      <c r="V291">
        <v>152</v>
      </c>
      <c r="W291">
        <v>641</v>
      </c>
      <c r="X291">
        <v>567</v>
      </c>
      <c r="Y291">
        <v>470</v>
      </c>
      <c r="Z291">
        <f t="shared" si="38"/>
        <v>405</v>
      </c>
      <c r="AA291">
        <v>340</v>
      </c>
      <c r="AB291">
        <f t="shared" si="39"/>
        <v>237</v>
      </c>
      <c r="AC291">
        <v>134</v>
      </c>
    </row>
    <row r="292" spans="1:29" x14ac:dyDescent="0.25">
      <c r="A292" t="s">
        <v>300</v>
      </c>
      <c r="B292">
        <v>808</v>
      </c>
      <c r="C292">
        <v>715</v>
      </c>
      <c r="D292">
        <v>574</v>
      </c>
      <c r="E292">
        <f t="shared" si="32"/>
        <v>488</v>
      </c>
      <c r="F292">
        <v>401</v>
      </c>
      <c r="G292">
        <f t="shared" si="33"/>
        <v>276</v>
      </c>
      <c r="H292">
        <v>151</v>
      </c>
      <c r="I292">
        <v>808</v>
      </c>
      <c r="J292">
        <v>715</v>
      </c>
      <c r="K292">
        <v>574</v>
      </c>
      <c r="L292">
        <f t="shared" si="34"/>
        <v>488</v>
      </c>
      <c r="M292">
        <v>401</v>
      </c>
      <c r="N292">
        <f t="shared" si="35"/>
        <v>273</v>
      </c>
      <c r="O292">
        <v>145</v>
      </c>
      <c r="P292">
        <v>606</v>
      </c>
      <c r="Q292">
        <v>547</v>
      </c>
      <c r="R292">
        <v>450</v>
      </c>
      <c r="S292">
        <f t="shared" si="36"/>
        <v>388</v>
      </c>
      <c r="T292">
        <v>326</v>
      </c>
      <c r="U292">
        <f t="shared" si="37"/>
        <v>229</v>
      </c>
      <c r="V292">
        <v>131</v>
      </c>
      <c r="W292">
        <v>606</v>
      </c>
      <c r="X292">
        <v>547</v>
      </c>
      <c r="Y292">
        <v>450</v>
      </c>
      <c r="Z292">
        <f t="shared" si="38"/>
        <v>388</v>
      </c>
      <c r="AA292">
        <v>326</v>
      </c>
      <c r="AB292">
        <f t="shared" si="39"/>
        <v>226</v>
      </c>
      <c r="AC292">
        <v>126</v>
      </c>
    </row>
    <row r="293" spans="1:29" x14ac:dyDescent="0.25">
      <c r="A293" t="s">
        <v>301</v>
      </c>
      <c r="B293">
        <v>754</v>
      </c>
      <c r="C293">
        <v>670</v>
      </c>
      <c r="D293">
        <v>542</v>
      </c>
      <c r="E293">
        <f t="shared" si="32"/>
        <v>462</v>
      </c>
      <c r="F293">
        <v>381</v>
      </c>
      <c r="G293">
        <f t="shared" si="33"/>
        <v>261</v>
      </c>
      <c r="H293">
        <v>140</v>
      </c>
      <c r="I293">
        <v>754</v>
      </c>
      <c r="J293">
        <v>670</v>
      </c>
      <c r="K293">
        <v>542</v>
      </c>
      <c r="L293">
        <f t="shared" si="34"/>
        <v>462</v>
      </c>
      <c r="M293">
        <v>381</v>
      </c>
      <c r="N293">
        <f t="shared" si="35"/>
        <v>261</v>
      </c>
      <c r="O293">
        <v>140</v>
      </c>
      <c r="P293">
        <v>565</v>
      </c>
      <c r="Q293">
        <v>513</v>
      </c>
      <c r="R293">
        <v>424</v>
      </c>
      <c r="S293">
        <f t="shared" si="36"/>
        <v>367</v>
      </c>
      <c r="T293">
        <v>310</v>
      </c>
      <c r="U293">
        <f t="shared" si="37"/>
        <v>216</v>
      </c>
      <c r="V293">
        <v>122</v>
      </c>
      <c r="W293">
        <v>565</v>
      </c>
      <c r="X293">
        <v>513</v>
      </c>
      <c r="Y293">
        <v>424</v>
      </c>
      <c r="Z293">
        <f t="shared" si="38"/>
        <v>367</v>
      </c>
      <c r="AA293">
        <v>310</v>
      </c>
      <c r="AB293">
        <f t="shared" si="39"/>
        <v>216</v>
      </c>
      <c r="AC293">
        <v>122</v>
      </c>
    </row>
    <row r="294" spans="1:29" x14ac:dyDescent="0.25">
      <c r="A294" t="s">
        <v>302</v>
      </c>
      <c r="B294">
        <v>699</v>
      </c>
      <c r="C294">
        <v>623</v>
      </c>
      <c r="D294">
        <v>513</v>
      </c>
      <c r="E294">
        <f t="shared" si="32"/>
        <v>436</v>
      </c>
      <c r="F294">
        <v>358</v>
      </c>
      <c r="G294">
        <f t="shared" si="33"/>
        <v>246</v>
      </c>
      <c r="H294">
        <v>134</v>
      </c>
      <c r="I294">
        <v>699</v>
      </c>
      <c r="J294">
        <v>623</v>
      </c>
      <c r="K294">
        <v>513</v>
      </c>
      <c r="L294">
        <f t="shared" si="34"/>
        <v>436</v>
      </c>
      <c r="M294">
        <v>358</v>
      </c>
      <c r="N294">
        <f t="shared" si="35"/>
        <v>246</v>
      </c>
      <c r="O294">
        <v>134</v>
      </c>
      <c r="P294">
        <v>524</v>
      </c>
      <c r="Q294">
        <v>477</v>
      </c>
      <c r="R294">
        <v>402</v>
      </c>
      <c r="S294">
        <f t="shared" si="36"/>
        <v>347</v>
      </c>
      <c r="T294">
        <v>291</v>
      </c>
      <c r="U294">
        <f t="shared" si="37"/>
        <v>204</v>
      </c>
      <c r="V294">
        <v>117</v>
      </c>
      <c r="W294">
        <v>524</v>
      </c>
      <c r="X294">
        <v>477</v>
      </c>
      <c r="Y294">
        <v>402</v>
      </c>
      <c r="Z294">
        <f t="shared" si="38"/>
        <v>347</v>
      </c>
      <c r="AA294">
        <v>291</v>
      </c>
      <c r="AB294">
        <f t="shared" si="39"/>
        <v>204</v>
      </c>
      <c r="AC294">
        <v>117</v>
      </c>
    </row>
    <row r="295" spans="1:29" x14ac:dyDescent="0.25">
      <c r="A295" t="s">
        <v>303</v>
      </c>
      <c r="B295">
        <v>642</v>
      </c>
      <c r="C295">
        <v>576</v>
      </c>
      <c r="D295">
        <v>477</v>
      </c>
      <c r="E295">
        <f t="shared" si="32"/>
        <v>409</v>
      </c>
      <c r="F295">
        <v>341</v>
      </c>
      <c r="G295">
        <f t="shared" si="33"/>
        <v>233</v>
      </c>
      <c r="H295">
        <v>125</v>
      </c>
      <c r="I295">
        <v>642</v>
      </c>
      <c r="J295">
        <v>576</v>
      </c>
      <c r="K295">
        <v>477</v>
      </c>
      <c r="L295">
        <f t="shared" si="34"/>
        <v>409</v>
      </c>
      <c r="M295">
        <v>341</v>
      </c>
      <c r="N295">
        <f t="shared" si="35"/>
        <v>233</v>
      </c>
      <c r="O295">
        <v>125</v>
      </c>
      <c r="P295">
        <v>481</v>
      </c>
      <c r="Q295">
        <v>441</v>
      </c>
      <c r="R295">
        <v>374</v>
      </c>
      <c r="S295">
        <f t="shared" si="36"/>
        <v>326</v>
      </c>
      <c r="T295">
        <v>277</v>
      </c>
      <c r="U295">
        <f t="shared" si="37"/>
        <v>193</v>
      </c>
      <c r="V295">
        <v>109</v>
      </c>
      <c r="W295">
        <v>481</v>
      </c>
      <c r="X295">
        <v>441</v>
      </c>
      <c r="Y295">
        <v>374</v>
      </c>
      <c r="Z295">
        <f t="shared" si="38"/>
        <v>326</v>
      </c>
      <c r="AA295">
        <v>277</v>
      </c>
      <c r="AB295">
        <f t="shared" si="39"/>
        <v>193</v>
      </c>
      <c r="AC295">
        <v>109</v>
      </c>
    </row>
    <row r="296" spans="1:29" x14ac:dyDescent="0.25">
      <c r="A296" t="s">
        <v>304</v>
      </c>
      <c r="B296">
        <v>582</v>
      </c>
      <c r="C296">
        <v>524</v>
      </c>
      <c r="D296">
        <v>436</v>
      </c>
      <c r="E296">
        <f t="shared" si="32"/>
        <v>374</v>
      </c>
      <c r="F296">
        <v>312</v>
      </c>
      <c r="G296">
        <f t="shared" si="33"/>
        <v>213</v>
      </c>
      <c r="H296">
        <v>113</v>
      </c>
      <c r="I296">
        <v>582</v>
      </c>
      <c r="J296">
        <v>524</v>
      </c>
      <c r="K296">
        <v>436</v>
      </c>
      <c r="L296">
        <f t="shared" si="34"/>
        <v>374</v>
      </c>
      <c r="M296">
        <v>312</v>
      </c>
      <c r="N296">
        <f t="shared" si="35"/>
        <v>213</v>
      </c>
      <c r="O296">
        <v>113</v>
      </c>
      <c r="P296">
        <v>436</v>
      </c>
      <c r="Q296">
        <v>401</v>
      </c>
      <c r="R296">
        <v>341</v>
      </c>
      <c r="S296">
        <f t="shared" si="36"/>
        <v>297</v>
      </c>
      <c r="T296">
        <v>253</v>
      </c>
      <c r="U296">
        <f t="shared" si="37"/>
        <v>176</v>
      </c>
      <c r="V296">
        <v>99</v>
      </c>
      <c r="W296">
        <v>436</v>
      </c>
      <c r="X296">
        <v>401</v>
      </c>
      <c r="Y296">
        <v>341</v>
      </c>
      <c r="Z296">
        <f t="shared" si="38"/>
        <v>297</v>
      </c>
      <c r="AA296">
        <v>253</v>
      </c>
      <c r="AB296">
        <f t="shared" si="39"/>
        <v>176</v>
      </c>
      <c r="AC296">
        <v>99</v>
      </c>
    </row>
    <row r="297" spans="1:29" x14ac:dyDescent="0.25">
      <c r="A297" t="s">
        <v>305</v>
      </c>
      <c r="B297">
        <v>519</v>
      </c>
      <c r="C297">
        <v>470</v>
      </c>
      <c r="D297">
        <v>392</v>
      </c>
      <c r="E297">
        <f t="shared" si="32"/>
        <v>337</v>
      </c>
      <c r="F297">
        <v>282</v>
      </c>
      <c r="G297">
        <f t="shared" si="33"/>
        <v>192</v>
      </c>
      <c r="H297">
        <v>102</v>
      </c>
      <c r="I297">
        <v>519</v>
      </c>
      <c r="J297">
        <v>470</v>
      </c>
      <c r="K297">
        <v>392</v>
      </c>
      <c r="L297">
        <f t="shared" si="34"/>
        <v>337</v>
      </c>
      <c r="M297">
        <v>282</v>
      </c>
      <c r="N297">
        <f t="shared" si="35"/>
        <v>192</v>
      </c>
      <c r="O297">
        <v>102</v>
      </c>
      <c r="P297">
        <v>389</v>
      </c>
      <c r="Q297">
        <v>359</v>
      </c>
      <c r="R297">
        <v>307</v>
      </c>
      <c r="S297">
        <f t="shared" si="36"/>
        <v>268</v>
      </c>
      <c r="T297">
        <v>229</v>
      </c>
      <c r="U297">
        <f t="shared" si="37"/>
        <v>159</v>
      </c>
      <c r="V297">
        <v>89</v>
      </c>
      <c r="W297">
        <v>389</v>
      </c>
      <c r="X297">
        <v>359</v>
      </c>
      <c r="Y297">
        <v>307</v>
      </c>
      <c r="Z297">
        <f t="shared" si="38"/>
        <v>268</v>
      </c>
      <c r="AA297">
        <v>229</v>
      </c>
      <c r="AB297">
        <f t="shared" si="39"/>
        <v>159</v>
      </c>
      <c r="AC297">
        <v>89</v>
      </c>
    </row>
    <row r="298" spans="1:29" x14ac:dyDescent="0.25">
      <c r="A298" t="s">
        <v>306</v>
      </c>
      <c r="B298">
        <v>801</v>
      </c>
      <c r="C298">
        <v>707</v>
      </c>
      <c r="D298">
        <v>569</v>
      </c>
      <c r="E298">
        <f t="shared" si="32"/>
        <v>483</v>
      </c>
      <c r="F298">
        <v>397</v>
      </c>
      <c r="G298">
        <f t="shared" si="33"/>
        <v>272</v>
      </c>
      <c r="H298">
        <v>147</v>
      </c>
      <c r="I298">
        <v>801</v>
      </c>
      <c r="J298">
        <v>707</v>
      </c>
      <c r="K298">
        <v>569</v>
      </c>
      <c r="L298">
        <f t="shared" si="34"/>
        <v>483</v>
      </c>
      <c r="M298">
        <v>397</v>
      </c>
      <c r="N298">
        <f t="shared" si="35"/>
        <v>271</v>
      </c>
      <c r="O298">
        <v>144</v>
      </c>
      <c r="P298">
        <v>600</v>
      </c>
      <c r="Q298">
        <v>541</v>
      </c>
      <c r="R298">
        <v>445</v>
      </c>
      <c r="S298">
        <f t="shared" si="36"/>
        <v>384</v>
      </c>
      <c r="T298">
        <v>323</v>
      </c>
      <c r="U298">
        <f t="shared" si="37"/>
        <v>226</v>
      </c>
      <c r="V298">
        <v>128</v>
      </c>
      <c r="W298">
        <v>600</v>
      </c>
      <c r="X298">
        <v>541</v>
      </c>
      <c r="Y298">
        <v>445</v>
      </c>
      <c r="Z298">
        <f t="shared" si="38"/>
        <v>384</v>
      </c>
      <c r="AA298">
        <v>323</v>
      </c>
      <c r="AB298">
        <f t="shared" si="39"/>
        <v>224</v>
      </c>
      <c r="AC298">
        <v>125</v>
      </c>
    </row>
    <row r="299" spans="1:29" x14ac:dyDescent="0.25">
      <c r="A299" t="s">
        <v>307</v>
      </c>
      <c r="B299">
        <v>745</v>
      </c>
      <c r="C299">
        <v>662</v>
      </c>
      <c r="D299">
        <v>542</v>
      </c>
      <c r="E299">
        <f t="shared" si="32"/>
        <v>459</v>
      </c>
      <c r="F299">
        <v>376</v>
      </c>
      <c r="G299">
        <f t="shared" si="33"/>
        <v>257</v>
      </c>
      <c r="H299">
        <v>137</v>
      </c>
      <c r="I299">
        <v>745</v>
      </c>
      <c r="J299">
        <v>662</v>
      </c>
      <c r="K299">
        <v>542</v>
      </c>
      <c r="L299">
        <f t="shared" si="34"/>
        <v>459</v>
      </c>
      <c r="M299">
        <v>376</v>
      </c>
      <c r="N299">
        <f t="shared" si="35"/>
        <v>257</v>
      </c>
      <c r="O299">
        <v>137</v>
      </c>
      <c r="P299">
        <v>559</v>
      </c>
      <c r="Q299">
        <v>507</v>
      </c>
      <c r="R299">
        <v>424</v>
      </c>
      <c r="S299">
        <f t="shared" si="36"/>
        <v>365</v>
      </c>
      <c r="T299">
        <v>306</v>
      </c>
      <c r="U299">
        <f t="shared" si="37"/>
        <v>213</v>
      </c>
      <c r="V299">
        <v>120</v>
      </c>
      <c r="W299">
        <v>559</v>
      </c>
      <c r="X299">
        <v>507</v>
      </c>
      <c r="Y299">
        <v>424</v>
      </c>
      <c r="Z299">
        <f t="shared" si="38"/>
        <v>365</v>
      </c>
      <c r="AA299">
        <v>306</v>
      </c>
      <c r="AB299">
        <f t="shared" si="39"/>
        <v>213</v>
      </c>
      <c r="AC299">
        <v>120</v>
      </c>
    </row>
    <row r="300" spans="1:29" x14ac:dyDescent="0.25">
      <c r="A300" t="s">
        <v>308</v>
      </c>
      <c r="B300">
        <v>691</v>
      </c>
      <c r="C300">
        <v>616</v>
      </c>
      <c r="D300">
        <v>506</v>
      </c>
      <c r="E300">
        <f t="shared" si="32"/>
        <v>431</v>
      </c>
      <c r="F300">
        <v>355</v>
      </c>
      <c r="G300">
        <f t="shared" si="33"/>
        <v>243</v>
      </c>
      <c r="H300">
        <v>130</v>
      </c>
      <c r="I300">
        <v>691</v>
      </c>
      <c r="J300">
        <v>616</v>
      </c>
      <c r="K300">
        <v>506</v>
      </c>
      <c r="L300">
        <f t="shared" si="34"/>
        <v>431</v>
      </c>
      <c r="M300">
        <v>355</v>
      </c>
      <c r="N300">
        <f t="shared" si="35"/>
        <v>243</v>
      </c>
      <c r="O300">
        <v>130</v>
      </c>
      <c r="P300">
        <v>518</v>
      </c>
      <c r="Q300">
        <v>472</v>
      </c>
      <c r="R300">
        <v>396</v>
      </c>
      <c r="S300">
        <f t="shared" si="36"/>
        <v>342</v>
      </c>
      <c r="T300">
        <v>288</v>
      </c>
      <c r="U300">
        <f t="shared" si="37"/>
        <v>201</v>
      </c>
      <c r="V300">
        <v>113</v>
      </c>
      <c r="W300">
        <v>518</v>
      </c>
      <c r="X300">
        <v>472</v>
      </c>
      <c r="Y300">
        <v>396</v>
      </c>
      <c r="Z300">
        <f t="shared" si="38"/>
        <v>342</v>
      </c>
      <c r="AA300">
        <v>288</v>
      </c>
      <c r="AB300">
        <f t="shared" si="39"/>
        <v>201</v>
      </c>
      <c r="AC300">
        <v>113</v>
      </c>
    </row>
    <row r="301" spans="1:29" x14ac:dyDescent="0.25">
      <c r="A301" t="s">
        <v>309</v>
      </c>
      <c r="B301">
        <v>635</v>
      </c>
      <c r="C301">
        <v>569</v>
      </c>
      <c r="D301">
        <v>470</v>
      </c>
      <c r="E301">
        <f t="shared" si="32"/>
        <v>403</v>
      </c>
      <c r="F301">
        <v>336</v>
      </c>
      <c r="G301">
        <f t="shared" si="33"/>
        <v>230</v>
      </c>
      <c r="H301">
        <v>123</v>
      </c>
      <c r="I301">
        <v>635</v>
      </c>
      <c r="J301">
        <v>569</v>
      </c>
      <c r="K301">
        <v>470</v>
      </c>
      <c r="L301">
        <f t="shared" si="34"/>
        <v>403</v>
      </c>
      <c r="M301">
        <v>336</v>
      </c>
      <c r="N301">
        <f t="shared" si="35"/>
        <v>230</v>
      </c>
      <c r="O301">
        <v>123</v>
      </c>
      <c r="P301">
        <v>476</v>
      </c>
      <c r="Q301">
        <v>435</v>
      </c>
      <c r="R301">
        <v>368</v>
      </c>
      <c r="S301">
        <f t="shared" si="36"/>
        <v>321</v>
      </c>
      <c r="T301">
        <v>273</v>
      </c>
      <c r="U301">
        <f t="shared" si="37"/>
        <v>190</v>
      </c>
      <c r="V301">
        <v>107</v>
      </c>
      <c r="W301">
        <v>476</v>
      </c>
      <c r="X301">
        <v>435</v>
      </c>
      <c r="Y301">
        <v>368</v>
      </c>
      <c r="Z301">
        <f t="shared" si="38"/>
        <v>321</v>
      </c>
      <c r="AA301">
        <v>273</v>
      </c>
      <c r="AB301">
        <f t="shared" si="39"/>
        <v>190</v>
      </c>
      <c r="AC301">
        <v>107</v>
      </c>
    </row>
    <row r="302" spans="1:29" x14ac:dyDescent="0.25">
      <c r="A302" t="s">
        <v>310</v>
      </c>
      <c r="B302">
        <v>578</v>
      </c>
      <c r="C302">
        <v>520</v>
      </c>
      <c r="D302">
        <v>432</v>
      </c>
      <c r="E302">
        <f t="shared" si="32"/>
        <v>372</v>
      </c>
      <c r="F302">
        <v>311</v>
      </c>
      <c r="G302">
        <f t="shared" si="33"/>
        <v>213</v>
      </c>
      <c r="H302">
        <v>114</v>
      </c>
      <c r="I302">
        <v>578</v>
      </c>
      <c r="J302">
        <v>520</v>
      </c>
      <c r="K302">
        <v>432</v>
      </c>
      <c r="L302">
        <f t="shared" si="34"/>
        <v>372</v>
      </c>
      <c r="M302">
        <v>311</v>
      </c>
      <c r="N302">
        <f t="shared" si="35"/>
        <v>213</v>
      </c>
      <c r="O302">
        <v>114</v>
      </c>
      <c r="P302">
        <v>433</v>
      </c>
      <c r="Q302">
        <v>398</v>
      </c>
      <c r="R302">
        <v>338</v>
      </c>
      <c r="S302">
        <f t="shared" si="36"/>
        <v>296</v>
      </c>
      <c r="T302">
        <v>253</v>
      </c>
      <c r="U302">
        <f t="shared" si="37"/>
        <v>176</v>
      </c>
      <c r="V302">
        <v>99</v>
      </c>
      <c r="W302">
        <v>433</v>
      </c>
      <c r="X302">
        <v>398</v>
      </c>
      <c r="Y302">
        <v>338</v>
      </c>
      <c r="Z302">
        <f t="shared" si="38"/>
        <v>296</v>
      </c>
      <c r="AA302">
        <v>253</v>
      </c>
      <c r="AB302">
        <f t="shared" si="39"/>
        <v>176</v>
      </c>
      <c r="AC302">
        <v>99</v>
      </c>
    </row>
    <row r="303" spans="1:29" x14ac:dyDescent="0.25">
      <c r="A303" t="s">
        <v>311</v>
      </c>
      <c r="B303">
        <v>514</v>
      </c>
      <c r="C303">
        <v>465</v>
      </c>
      <c r="D303">
        <v>388</v>
      </c>
      <c r="E303">
        <f t="shared" si="32"/>
        <v>335</v>
      </c>
      <c r="F303">
        <v>281</v>
      </c>
      <c r="G303">
        <f t="shared" si="33"/>
        <v>192</v>
      </c>
      <c r="H303">
        <v>102</v>
      </c>
      <c r="I303">
        <v>514</v>
      </c>
      <c r="J303">
        <v>465</v>
      </c>
      <c r="K303">
        <v>388</v>
      </c>
      <c r="L303">
        <f t="shared" si="34"/>
        <v>335</v>
      </c>
      <c r="M303">
        <v>281</v>
      </c>
      <c r="N303">
        <f t="shared" si="35"/>
        <v>192</v>
      </c>
      <c r="O303">
        <v>102</v>
      </c>
      <c r="P303">
        <v>385</v>
      </c>
      <c r="Q303">
        <v>356</v>
      </c>
      <c r="R303">
        <v>304</v>
      </c>
      <c r="S303">
        <f t="shared" si="36"/>
        <v>266</v>
      </c>
      <c r="T303">
        <v>228</v>
      </c>
      <c r="U303">
        <f t="shared" si="37"/>
        <v>159</v>
      </c>
      <c r="V303">
        <v>89</v>
      </c>
      <c r="W303">
        <v>385</v>
      </c>
      <c r="X303">
        <v>356</v>
      </c>
      <c r="Y303">
        <v>304</v>
      </c>
      <c r="Z303">
        <f t="shared" si="38"/>
        <v>266</v>
      </c>
      <c r="AA303">
        <v>228</v>
      </c>
      <c r="AB303">
        <f t="shared" si="39"/>
        <v>159</v>
      </c>
      <c r="AC303">
        <v>89</v>
      </c>
    </row>
    <row r="304" spans="1:29" x14ac:dyDescent="0.25">
      <c r="A304" t="s">
        <v>312</v>
      </c>
      <c r="B304">
        <v>448</v>
      </c>
      <c r="C304">
        <v>407</v>
      </c>
      <c r="D304">
        <v>343</v>
      </c>
      <c r="E304">
        <f t="shared" si="32"/>
        <v>297</v>
      </c>
      <c r="F304">
        <v>250</v>
      </c>
      <c r="G304">
        <f t="shared" si="33"/>
        <v>171</v>
      </c>
      <c r="H304">
        <v>91</v>
      </c>
      <c r="I304">
        <v>448</v>
      </c>
      <c r="J304">
        <v>407</v>
      </c>
      <c r="K304">
        <v>343</v>
      </c>
      <c r="L304">
        <f t="shared" si="34"/>
        <v>297</v>
      </c>
      <c r="M304">
        <v>250</v>
      </c>
      <c r="N304">
        <f t="shared" si="35"/>
        <v>171</v>
      </c>
      <c r="O304">
        <v>91</v>
      </c>
      <c r="P304">
        <v>336</v>
      </c>
      <c r="Q304">
        <v>311</v>
      </c>
      <c r="R304">
        <v>269</v>
      </c>
      <c r="S304">
        <f t="shared" si="36"/>
        <v>236</v>
      </c>
      <c r="T304">
        <v>203</v>
      </c>
      <c r="U304">
        <f t="shared" si="37"/>
        <v>141</v>
      </c>
      <c r="V304">
        <v>79</v>
      </c>
      <c r="W304">
        <v>336</v>
      </c>
      <c r="X304">
        <v>311</v>
      </c>
      <c r="Y304">
        <v>269</v>
      </c>
      <c r="Z304">
        <f t="shared" si="38"/>
        <v>236</v>
      </c>
      <c r="AA304">
        <v>203</v>
      </c>
      <c r="AB304">
        <f t="shared" si="39"/>
        <v>141</v>
      </c>
      <c r="AC304">
        <v>79</v>
      </c>
    </row>
    <row r="305" spans="1:29" x14ac:dyDescent="0.25">
      <c r="A305" t="s">
        <v>313</v>
      </c>
      <c r="B305">
        <v>738</v>
      </c>
      <c r="C305">
        <v>654</v>
      </c>
      <c r="D305">
        <v>534</v>
      </c>
      <c r="E305">
        <f t="shared" si="32"/>
        <v>453</v>
      </c>
      <c r="F305">
        <v>371</v>
      </c>
      <c r="G305">
        <f t="shared" si="33"/>
        <v>254</v>
      </c>
      <c r="H305">
        <v>136</v>
      </c>
      <c r="I305">
        <v>738</v>
      </c>
      <c r="J305">
        <v>654</v>
      </c>
      <c r="K305">
        <v>534</v>
      </c>
      <c r="L305">
        <f t="shared" si="34"/>
        <v>453</v>
      </c>
      <c r="M305">
        <v>371</v>
      </c>
      <c r="N305">
        <f t="shared" si="35"/>
        <v>254</v>
      </c>
      <c r="O305">
        <v>136</v>
      </c>
      <c r="P305">
        <v>553</v>
      </c>
      <c r="Q305">
        <v>501</v>
      </c>
      <c r="R305">
        <v>418</v>
      </c>
      <c r="S305">
        <f t="shared" si="36"/>
        <v>360</v>
      </c>
      <c r="T305">
        <v>301</v>
      </c>
      <c r="U305">
        <f t="shared" si="37"/>
        <v>210</v>
      </c>
      <c r="V305">
        <v>118</v>
      </c>
      <c r="W305">
        <v>553</v>
      </c>
      <c r="X305">
        <v>501</v>
      </c>
      <c r="Y305">
        <v>418</v>
      </c>
      <c r="Z305">
        <f t="shared" si="38"/>
        <v>360</v>
      </c>
      <c r="AA305">
        <v>301</v>
      </c>
      <c r="AB305">
        <f t="shared" si="39"/>
        <v>210</v>
      </c>
      <c r="AC305">
        <v>118</v>
      </c>
    </row>
    <row r="306" spans="1:29" x14ac:dyDescent="0.25">
      <c r="A306" t="s">
        <v>314</v>
      </c>
      <c r="B306">
        <v>682</v>
      </c>
      <c r="C306">
        <v>609</v>
      </c>
      <c r="D306">
        <v>499</v>
      </c>
      <c r="E306">
        <f t="shared" si="32"/>
        <v>424</v>
      </c>
      <c r="F306">
        <v>349</v>
      </c>
      <c r="G306">
        <f t="shared" si="33"/>
        <v>238</v>
      </c>
      <c r="H306">
        <v>127</v>
      </c>
      <c r="I306">
        <v>682</v>
      </c>
      <c r="J306">
        <v>609</v>
      </c>
      <c r="K306">
        <v>499</v>
      </c>
      <c r="L306">
        <f t="shared" si="34"/>
        <v>424</v>
      </c>
      <c r="M306">
        <v>349</v>
      </c>
      <c r="N306">
        <f t="shared" si="35"/>
        <v>238</v>
      </c>
      <c r="O306">
        <v>127</v>
      </c>
      <c r="P306">
        <v>512</v>
      </c>
      <c r="Q306">
        <v>466</v>
      </c>
      <c r="R306">
        <v>390</v>
      </c>
      <c r="S306">
        <f t="shared" si="36"/>
        <v>337</v>
      </c>
      <c r="T306">
        <v>283</v>
      </c>
      <c r="U306">
        <f t="shared" si="37"/>
        <v>197</v>
      </c>
      <c r="V306">
        <v>111</v>
      </c>
      <c r="W306">
        <v>512</v>
      </c>
      <c r="X306">
        <v>466</v>
      </c>
      <c r="Y306">
        <v>390</v>
      </c>
      <c r="Z306">
        <f t="shared" si="38"/>
        <v>337</v>
      </c>
      <c r="AA306">
        <v>283</v>
      </c>
      <c r="AB306">
        <f t="shared" si="39"/>
        <v>197</v>
      </c>
      <c r="AC306">
        <v>111</v>
      </c>
    </row>
    <row r="307" spans="1:29" x14ac:dyDescent="0.25">
      <c r="A307" t="s">
        <v>315</v>
      </c>
      <c r="B307">
        <v>627</v>
      </c>
      <c r="C307">
        <v>561</v>
      </c>
      <c r="D307">
        <v>464</v>
      </c>
      <c r="E307">
        <f t="shared" si="32"/>
        <v>398</v>
      </c>
      <c r="F307">
        <v>331</v>
      </c>
      <c r="G307">
        <f t="shared" si="33"/>
        <v>227</v>
      </c>
      <c r="H307">
        <v>122</v>
      </c>
      <c r="I307">
        <v>627</v>
      </c>
      <c r="J307">
        <v>561</v>
      </c>
      <c r="K307">
        <v>464</v>
      </c>
      <c r="L307">
        <f t="shared" si="34"/>
        <v>398</v>
      </c>
      <c r="M307">
        <v>331</v>
      </c>
      <c r="N307">
        <f t="shared" si="35"/>
        <v>227</v>
      </c>
      <c r="O307">
        <v>122</v>
      </c>
      <c r="P307">
        <v>470</v>
      </c>
      <c r="Q307">
        <v>429</v>
      </c>
      <c r="R307">
        <v>363</v>
      </c>
      <c r="S307">
        <f t="shared" si="36"/>
        <v>316</v>
      </c>
      <c r="T307">
        <v>269</v>
      </c>
      <c r="U307">
        <f t="shared" si="37"/>
        <v>188</v>
      </c>
      <c r="V307">
        <v>106</v>
      </c>
      <c r="W307">
        <v>470</v>
      </c>
      <c r="X307">
        <v>429</v>
      </c>
      <c r="Y307">
        <v>363</v>
      </c>
      <c r="Z307">
        <f t="shared" si="38"/>
        <v>316</v>
      </c>
      <c r="AA307">
        <v>269</v>
      </c>
      <c r="AB307">
        <f t="shared" si="39"/>
        <v>188</v>
      </c>
      <c r="AC307">
        <v>106</v>
      </c>
    </row>
    <row r="308" spans="1:29" x14ac:dyDescent="0.25">
      <c r="A308" t="s">
        <v>316</v>
      </c>
      <c r="B308">
        <v>570</v>
      </c>
      <c r="C308">
        <v>513</v>
      </c>
      <c r="D308">
        <v>426</v>
      </c>
      <c r="E308">
        <f t="shared" si="32"/>
        <v>366</v>
      </c>
      <c r="F308">
        <v>306</v>
      </c>
      <c r="G308">
        <f t="shared" si="33"/>
        <v>210</v>
      </c>
      <c r="H308">
        <v>113</v>
      </c>
      <c r="I308">
        <v>570</v>
      </c>
      <c r="J308">
        <v>513</v>
      </c>
      <c r="K308">
        <v>426</v>
      </c>
      <c r="L308">
        <f t="shared" si="34"/>
        <v>366</v>
      </c>
      <c r="M308">
        <v>306</v>
      </c>
      <c r="N308">
        <f t="shared" si="35"/>
        <v>210</v>
      </c>
      <c r="O308">
        <v>113</v>
      </c>
      <c r="P308">
        <v>428</v>
      </c>
      <c r="Q308">
        <v>392</v>
      </c>
      <c r="R308">
        <v>333</v>
      </c>
      <c r="S308">
        <f t="shared" si="36"/>
        <v>291</v>
      </c>
      <c r="T308">
        <v>248</v>
      </c>
      <c r="U308">
        <f t="shared" si="37"/>
        <v>174</v>
      </c>
      <c r="V308">
        <v>99</v>
      </c>
      <c r="W308">
        <v>428</v>
      </c>
      <c r="X308">
        <v>392</v>
      </c>
      <c r="Y308">
        <v>333</v>
      </c>
      <c r="Z308">
        <f t="shared" si="38"/>
        <v>291</v>
      </c>
      <c r="AA308">
        <v>248</v>
      </c>
      <c r="AB308">
        <f t="shared" si="39"/>
        <v>174</v>
      </c>
      <c r="AC308">
        <v>99</v>
      </c>
    </row>
    <row r="309" spans="1:29" x14ac:dyDescent="0.25">
      <c r="A309" t="s">
        <v>317</v>
      </c>
      <c r="B309">
        <v>509</v>
      </c>
      <c r="C309">
        <v>460</v>
      </c>
      <c r="D309">
        <v>385</v>
      </c>
      <c r="E309">
        <f t="shared" si="32"/>
        <v>332</v>
      </c>
      <c r="F309">
        <v>278</v>
      </c>
      <c r="G309">
        <f t="shared" si="33"/>
        <v>190</v>
      </c>
      <c r="H309">
        <v>102</v>
      </c>
      <c r="I309">
        <v>509</v>
      </c>
      <c r="J309">
        <v>460</v>
      </c>
      <c r="K309">
        <v>385</v>
      </c>
      <c r="L309">
        <f t="shared" si="34"/>
        <v>332</v>
      </c>
      <c r="M309">
        <v>278</v>
      </c>
      <c r="N309">
        <f t="shared" si="35"/>
        <v>190</v>
      </c>
      <c r="O309">
        <v>102</v>
      </c>
      <c r="P309">
        <v>381</v>
      </c>
      <c r="Q309">
        <v>352</v>
      </c>
      <c r="R309">
        <v>301</v>
      </c>
      <c r="S309">
        <f t="shared" si="36"/>
        <v>264</v>
      </c>
      <c r="T309">
        <v>226</v>
      </c>
      <c r="U309">
        <f t="shared" si="37"/>
        <v>158</v>
      </c>
      <c r="V309">
        <v>89</v>
      </c>
      <c r="W309">
        <v>381</v>
      </c>
      <c r="X309">
        <v>352</v>
      </c>
      <c r="Y309">
        <v>301</v>
      </c>
      <c r="Z309">
        <f t="shared" si="38"/>
        <v>264</v>
      </c>
      <c r="AA309">
        <v>226</v>
      </c>
      <c r="AB309">
        <f t="shared" si="39"/>
        <v>158</v>
      </c>
      <c r="AC309">
        <v>89</v>
      </c>
    </row>
    <row r="310" spans="1:29" x14ac:dyDescent="0.25">
      <c r="A310" t="s">
        <v>318</v>
      </c>
      <c r="B310">
        <v>443</v>
      </c>
      <c r="C310">
        <v>403</v>
      </c>
      <c r="D310">
        <v>340</v>
      </c>
      <c r="E310">
        <f t="shared" si="32"/>
        <v>294</v>
      </c>
      <c r="F310">
        <v>247</v>
      </c>
      <c r="G310">
        <f t="shared" si="33"/>
        <v>169</v>
      </c>
      <c r="H310">
        <v>91</v>
      </c>
      <c r="I310">
        <v>443</v>
      </c>
      <c r="J310">
        <v>403</v>
      </c>
      <c r="K310">
        <v>340</v>
      </c>
      <c r="L310">
        <f t="shared" si="34"/>
        <v>294</v>
      </c>
      <c r="M310">
        <v>247</v>
      </c>
      <c r="N310">
        <f t="shared" si="35"/>
        <v>169</v>
      </c>
      <c r="O310">
        <v>91</v>
      </c>
      <c r="P310">
        <v>332</v>
      </c>
      <c r="Q310">
        <v>309</v>
      </c>
      <c r="R310">
        <v>266</v>
      </c>
      <c r="S310">
        <f t="shared" si="36"/>
        <v>234</v>
      </c>
      <c r="T310">
        <v>201</v>
      </c>
      <c r="U310">
        <f t="shared" si="37"/>
        <v>140</v>
      </c>
      <c r="V310">
        <v>79</v>
      </c>
      <c r="W310">
        <v>332</v>
      </c>
      <c r="X310">
        <v>309</v>
      </c>
      <c r="Y310">
        <v>266</v>
      </c>
      <c r="Z310">
        <f t="shared" si="38"/>
        <v>234</v>
      </c>
      <c r="AA310">
        <v>201</v>
      </c>
      <c r="AB310">
        <f t="shared" si="39"/>
        <v>140</v>
      </c>
      <c r="AC310">
        <v>79</v>
      </c>
    </row>
    <row r="311" spans="1:29" x14ac:dyDescent="0.25">
      <c r="A311" t="s">
        <v>319</v>
      </c>
      <c r="B311">
        <v>674</v>
      </c>
      <c r="C311">
        <v>600</v>
      </c>
      <c r="D311">
        <v>491</v>
      </c>
      <c r="E311">
        <f t="shared" si="32"/>
        <v>417</v>
      </c>
      <c r="F311">
        <v>343</v>
      </c>
      <c r="G311">
        <f t="shared" si="33"/>
        <v>235</v>
      </c>
      <c r="H311">
        <v>126</v>
      </c>
      <c r="I311">
        <v>674</v>
      </c>
      <c r="J311">
        <v>600</v>
      </c>
      <c r="K311">
        <v>491</v>
      </c>
      <c r="L311">
        <f t="shared" si="34"/>
        <v>417</v>
      </c>
      <c r="M311">
        <v>343</v>
      </c>
      <c r="N311">
        <f t="shared" si="35"/>
        <v>235</v>
      </c>
      <c r="O311">
        <v>126</v>
      </c>
      <c r="P311">
        <v>506</v>
      </c>
      <c r="Q311">
        <v>459</v>
      </c>
      <c r="R311">
        <v>385</v>
      </c>
      <c r="S311">
        <f t="shared" si="36"/>
        <v>332</v>
      </c>
      <c r="T311">
        <v>279</v>
      </c>
      <c r="U311">
        <f t="shared" si="37"/>
        <v>194</v>
      </c>
      <c r="V311">
        <v>109</v>
      </c>
      <c r="W311">
        <v>506</v>
      </c>
      <c r="X311">
        <v>459</v>
      </c>
      <c r="Y311">
        <v>385</v>
      </c>
      <c r="Z311">
        <f t="shared" si="38"/>
        <v>332</v>
      </c>
      <c r="AA311">
        <v>279</v>
      </c>
      <c r="AB311">
        <f t="shared" si="39"/>
        <v>194</v>
      </c>
      <c r="AC311">
        <v>109</v>
      </c>
    </row>
    <row r="312" spans="1:29" x14ac:dyDescent="0.25">
      <c r="A312" t="s">
        <v>320</v>
      </c>
      <c r="B312">
        <v>618</v>
      </c>
      <c r="C312">
        <v>552</v>
      </c>
      <c r="D312">
        <v>456</v>
      </c>
      <c r="E312">
        <f t="shared" si="32"/>
        <v>391</v>
      </c>
      <c r="F312">
        <v>325</v>
      </c>
      <c r="G312">
        <f t="shared" si="33"/>
        <v>223</v>
      </c>
      <c r="H312">
        <v>120</v>
      </c>
      <c r="I312">
        <v>618</v>
      </c>
      <c r="J312">
        <v>552</v>
      </c>
      <c r="K312">
        <v>456</v>
      </c>
      <c r="L312">
        <f t="shared" si="34"/>
        <v>391</v>
      </c>
      <c r="M312">
        <v>325</v>
      </c>
      <c r="N312">
        <f t="shared" si="35"/>
        <v>223</v>
      </c>
      <c r="O312">
        <v>120</v>
      </c>
      <c r="P312">
        <v>463</v>
      </c>
      <c r="Q312">
        <v>423</v>
      </c>
      <c r="R312">
        <v>357</v>
      </c>
      <c r="S312">
        <f t="shared" si="36"/>
        <v>311</v>
      </c>
      <c r="T312">
        <v>264</v>
      </c>
      <c r="U312">
        <f t="shared" si="37"/>
        <v>184</v>
      </c>
      <c r="V312">
        <v>104</v>
      </c>
      <c r="W312">
        <v>463</v>
      </c>
      <c r="X312">
        <v>423</v>
      </c>
      <c r="Y312">
        <v>357</v>
      </c>
      <c r="Z312">
        <f t="shared" si="38"/>
        <v>311</v>
      </c>
      <c r="AA312">
        <v>264</v>
      </c>
      <c r="AB312">
        <f t="shared" si="39"/>
        <v>184</v>
      </c>
      <c r="AC312">
        <v>104</v>
      </c>
    </row>
    <row r="313" spans="1:29" x14ac:dyDescent="0.25">
      <c r="A313" t="s">
        <v>321</v>
      </c>
      <c r="B313">
        <v>562</v>
      </c>
      <c r="C313">
        <v>505</v>
      </c>
      <c r="D313">
        <v>419</v>
      </c>
      <c r="E313">
        <f t="shared" si="32"/>
        <v>360</v>
      </c>
      <c r="F313">
        <v>301</v>
      </c>
      <c r="G313">
        <f t="shared" si="33"/>
        <v>206</v>
      </c>
      <c r="H313">
        <v>111</v>
      </c>
      <c r="I313">
        <v>562</v>
      </c>
      <c r="J313">
        <v>505</v>
      </c>
      <c r="K313">
        <v>419</v>
      </c>
      <c r="L313">
        <f t="shared" si="34"/>
        <v>360</v>
      </c>
      <c r="M313">
        <v>301</v>
      </c>
      <c r="N313">
        <f t="shared" si="35"/>
        <v>206</v>
      </c>
      <c r="O313">
        <v>111</v>
      </c>
      <c r="P313">
        <v>421</v>
      </c>
      <c r="Q313">
        <v>386</v>
      </c>
      <c r="R313">
        <v>328</v>
      </c>
      <c r="S313">
        <f t="shared" si="36"/>
        <v>286</v>
      </c>
      <c r="T313">
        <v>244</v>
      </c>
      <c r="U313">
        <f t="shared" si="37"/>
        <v>171</v>
      </c>
      <c r="V313">
        <v>97</v>
      </c>
      <c r="W313">
        <v>421</v>
      </c>
      <c r="X313">
        <v>386</v>
      </c>
      <c r="Y313">
        <v>328</v>
      </c>
      <c r="Z313">
        <f t="shared" si="38"/>
        <v>286</v>
      </c>
      <c r="AA313">
        <v>244</v>
      </c>
      <c r="AB313">
        <f t="shared" si="39"/>
        <v>171</v>
      </c>
      <c r="AC313">
        <v>97</v>
      </c>
    </row>
    <row r="314" spans="1:29" x14ac:dyDescent="0.25">
      <c r="A314" t="s">
        <v>322</v>
      </c>
      <c r="B314">
        <v>503</v>
      </c>
      <c r="C314">
        <v>455</v>
      </c>
      <c r="D314">
        <v>380</v>
      </c>
      <c r="E314">
        <f t="shared" si="32"/>
        <v>328</v>
      </c>
      <c r="F314">
        <v>276</v>
      </c>
      <c r="G314">
        <f t="shared" si="33"/>
        <v>189</v>
      </c>
      <c r="H314">
        <v>102</v>
      </c>
      <c r="I314">
        <v>503</v>
      </c>
      <c r="J314">
        <v>455</v>
      </c>
      <c r="K314">
        <v>380</v>
      </c>
      <c r="L314">
        <f t="shared" si="34"/>
        <v>328</v>
      </c>
      <c r="M314">
        <v>276</v>
      </c>
      <c r="N314">
        <f t="shared" si="35"/>
        <v>189</v>
      </c>
      <c r="O314">
        <v>102</v>
      </c>
      <c r="P314">
        <v>377</v>
      </c>
      <c r="Q314">
        <v>348</v>
      </c>
      <c r="R314">
        <v>297</v>
      </c>
      <c r="S314">
        <f t="shared" si="36"/>
        <v>261</v>
      </c>
      <c r="T314">
        <v>224</v>
      </c>
      <c r="U314">
        <f t="shared" si="37"/>
        <v>157</v>
      </c>
      <c r="V314">
        <v>89</v>
      </c>
      <c r="W314">
        <v>377</v>
      </c>
      <c r="X314">
        <v>348</v>
      </c>
      <c r="Y314">
        <v>297</v>
      </c>
      <c r="Z314">
        <f t="shared" si="38"/>
        <v>261</v>
      </c>
      <c r="AA314">
        <v>224</v>
      </c>
      <c r="AB314">
        <f t="shared" si="39"/>
        <v>157</v>
      </c>
      <c r="AC314">
        <v>89</v>
      </c>
    </row>
    <row r="315" spans="1:29" x14ac:dyDescent="0.25">
      <c r="A315" t="s">
        <v>323</v>
      </c>
      <c r="B315">
        <v>437</v>
      </c>
      <c r="C315">
        <v>399</v>
      </c>
      <c r="D315">
        <v>336</v>
      </c>
      <c r="E315">
        <f t="shared" si="32"/>
        <v>290</v>
      </c>
      <c r="F315">
        <v>244</v>
      </c>
      <c r="G315">
        <f t="shared" si="33"/>
        <v>167</v>
      </c>
      <c r="H315">
        <v>90</v>
      </c>
      <c r="I315">
        <v>437</v>
      </c>
      <c r="J315">
        <v>399</v>
      </c>
      <c r="K315">
        <v>336</v>
      </c>
      <c r="L315">
        <f t="shared" si="34"/>
        <v>290</v>
      </c>
      <c r="M315">
        <v>244</v>
      </c>
      <c r="N315">
        <f t="shared" si="35"/>
        <v>167</v>
      </c>
      <c r="O315">
        <v>90</v>
      </c>
      <c r="P315">
        <v>328</v>
      </c>
      <c r="Q315">
        <v>305</v>
      </c>
      <c r="R315">
        <v>263</v>
      </c>
      <c r="S315">
        <f t="shared" si="36"/>
        <v>231</v>
      </c>
      <c r="T315">
        <v>199</v>
      </c>
      <c r="U315">
        <f t="shared" si="37"/>
        <v>139</v>
      </c>
      <c r="V315">
        <v>78</v>
      </c>
      <c r="W315">
        <v>328</v>
      </c>
      <c r="X315">
        <v>305</v>
      </c>
      <c r="Y315">
        <v>263</v>
      </c>
      <c r="Z315">
        <f t="shared" si="38"/>
        <v>231</v>
      </c>
      <c r="AA315">
        <v>199</v>
      </c>
      <c r="AB315">
        <f t="shared" si="39"/>
        <v>139</v>
      </c>
      <c r="AC315">
        <v>78</v>
      </c>
    </row>
    <row r="316" spans="1:29" x14ac:dyDescent="0.25">
      <c r="A316" t="s">
        <v>324</v>
      </c>
      <c r="B316">
        <v>609</v>
      </c>
      <c r="C316">
        <v>544</v>
      </c>
      <c r="D316">
        <v>448</v>
      </c>
      <c r="E316">
        <f t="shared" si="32"/>
        <v>384</v>
      </c>
      <c r="F316">
        <v>320</v>
      </c>
      <c r="G316">
        <f t="shared" si="33"/>
        <v>219</v>
      </c>
      <c r="H316">
        <v>117</v>
      </c>
      <c r="I316">
        <v>609</v>
      </c>
      <c r="J316">
        <v>544</v>
      </c>
      <c r="K316">
        <v>448</v>
      </c>
      <c r="L316">
        <f t="shared" si="34"/>
        <v>384</v>
      </c>
      <c r="M316">
        <v>320</v>
      </c>
      <c r="N316">
        <f t="shared" si="35"/>
        <v>219</v>
      </c>
      <c r="O316">
        <v>117</v>
      </c>
      <c r="P316">
        <v>457</v>
      </c>
      <c r="Q316">
        <v>416</v>
      </c>
      <c r="R316">
        <v>351</v>
      </c>
      <c r="S316">
        <f t="shared" si="36"/>
        <v>306</v>
      </c>
      <c r="T316">
        <v>260</v>
      </c>
      <c r="U316">
        <f t="shared" si="37"/>
        <v>181</v>
      </c>
      <c r="V316">
        <v>102</v>
      </c>
      <c r="W316">
        <v>457</v>
      </c>
      <c r="X316">
        <v>416</v>
      </c>
      <c r="Y316">
        <v>351</v>
      </c>
      <c r="Z316">
        <f t="shared" si="38"/>
        <v>306</v>
      </c>
      <c r="AA316">
        <v>260</v>
      </c>
      <c r="AB316">
        <f t="shared" si="39"/>
        <v>181</v>
      </c>
      <c r="AC316">
        <v>102</v>
      </c>
    </row>
    <row r="317" spans="1:29" x14ac:dyDescent="0.25">
      <c r="A317" t="s">
        <v>325</v>
      </c>
      <c r="B317">
        <v>552</v>
      </c>
      <c r="C317">
        <v>496</v>
      </c>
      <c r="D317">
        <v>411</v>
      </c>
      <c r="E317">
        <f t="shared" si="32"/>
        <v>354</v>
      </c>
      <c r="F317">
        <v>296</v>
      </c>
      <c r="G317">
        <f t="shared" si="33"/>
        <v>203</v>
      </c>
      <c r="H317">
        <v>109</v>
      </c>
      <c r="I317">
        <v>552</v>
      </c>
      <c r="J317">
        <v>496</v>
      </c>
      <c r="K317">
        <v>411</v>
      </c>
      <c r="L317">
        <f t="shared" si="34"/>
        <v>354</v>
      </c>
      <c r="M317">
        <v>296</v>
      </c>
      <c r="N317">
        <f t="shared" si="35"/>
        <v>203</v>
      </c>
      <c r="O317">
        <v>109</v>
      </c>
      <c r="P317">
        <v>414</v>
      </c>
      <c r="Q317">
        <v>379</v>
      </c>
      <c r="R317">
        <v>322</v>
      </c>
      <c r="S317">
        <f t="shared" si="36"/>
        <v>281</v>
      </c>
      <c r="T317">
        <v>240</v>
      </c>
      <c r="U317">
        <f t="shared" si="37"/>
        <v>168</v>
      </c>
      <c r="V317">
        <v>95</v>
      </c>
      <c r="W317">
        <v>414</v>
      </c>
      <c r="X317">
        <v>379</v>
      </c>
      <c r="Y317">
        <v>322</v>
      </c>
      <c r="Z317">
        <f t="shared" si="38"/>
        <v>281</v>
      </c>
      <c r="AA317">
        <v>240</v>
      </c>
      <c r="AB317">
        <f t="shared" si="39"/>
        <v>168</v>
      </c>
      <c r="AC317">
        <v>95</v>
      </c>
    </row>
    <row r="318" spans="1:29" x14ac:dyDescent="0.25">
      <c r="A318" t="s">
        <v>326</v>
      </c>
      <c r="B318">
        <v>494</v>
      </c>
      <c r="C318">
        <v>447</v>
      </c>
      <c r="D318">
        <v>372</v>
      </c>
      <c r="E318">
        <f t="shared" si="32"/>
        <v>321</v>
      </c>
      <c r="F318">
        <v>269</v>
      </c>
      <c r="G318">
        <f t="shared" si="33"/>
        <v>185</v>
      </c>
      <c r="H318">
        <v>101</v>
      </c>
      <c r="I318">
        <v>494</v>
      </c>
      <c r="J318">
        <v>447</v>
      </c>
      <c r="K318">
        <v>372</v>
      </c>
      <c r="L318">
        <f t="shared" si="34"/>
        <v>321</v>
      </c>
      <c r="M318">
        <v>269</v>
      </c>
      <c r="N318">
        <f t="shared" si="35"/>
        <v>185</v>
      </c>
      <c r="O318">
        <v>101</v>
      </c>
      <c r="P318">
        <v>370</v>
      </c>
      <c r="Q318">
        <v>342</v>
      </c>
      <c r="R318">
        <v>291</v>
      </c>
      <c r="S318">
        <f t="shared" si="36"/>
        <v>255</v>
      </c>
      <c r="T318">
        <v>219</v>
      </c>
      <c r="U318">
        <f t="shared" si="37"/>
        <v>154</v>
      </c>
      <c r="V318">
        <v>88</v>
      </c>
      <c r="W318">
        <v>370</v>
      </c>
      <c r="X318">
        <v>342</v>
      </c>
      <c r="Y318">
        <v>291</v>
      </c>
      <c r="Z318">
        <f t="shared" si="38"/>
        <v>255</v>
      </c>
      <c r="AA318">
        <v>219</v>
      </c>
      <c r="AB318">
        <f t="shared" si="39"/>
        <v>154</v>
      </c>
      <c r="AC318">
        <v>88</v>
      </c>
    </row>
    <row r="319" spans="1:29" x14ac:dyDescent="0.25">
      <c r="A319" t="s">
        <v>327</v>
      </c>
      <c r="B319">
        <v>433</v>
      </c>
      <c r="C319">
        <v>393</v>
      </c>
      <c r="D319">
        <v>331</v>
      </c>
      <c r="E319">
        <f t="shared" si="32"/>
        <v>287</v>
      </c>
      <c r="F319">
        <v>242</v>
      </c>
      <c r="G319">
        <f t="shared" si="33"/>
        <v>166</v>
      </c>
      <c r="H319">
        <v>90</v>
      </c>
      <c r="I319">
        <v>433</v>
      </c>
      <c r="J319">
        <v>393</v>
      </c>
      <c r="K319">
        <v>331</v>
      </c>
      <c r="L319">
        <f t="shared" si="34"/>
        <v>287</v>
      </c>
      <c r="M319">
        <v>242</v>
      </c>
      <c r="N319">
        <f t="shared" si="35"/>
        <v>166</v>
      </c>
      <c r="O319">
        <v>90</v>
      </c>
      <c r="P319">
        <v>324</v>
      </c>
      <c r="Q319">
        <v>301</v>
      </c>
      <c r="R319">
        <v>259</v>
      </c>
      <c r="S319">
        <f t="shared" si="36"/>
        <v>228</v>
      </c>
      <c r="T319">
        <v>197</v>
      </c>
      <c r="U319">
        <f t="shared" si="37"/>
        <v>138</v>
      </c>
      <c r="V319">
        <v>78</v>
      </c>
      <c r="W319">
        <v>324</v>
      </c>
      <c r="X319">
        <v>301</v>
      </c>
      <c r="Y319">
        <v>259</v>
      </c>
      <c r="Z319">
        <f t="shared" si="38"/>
        <v>228</v>
      </c>
      <c r="AA319">
        <v>197</v>
      </c>
      <c r="AB319">
        <f t="shared" si="39"/>
        <v>138</v>
      </c>
      <c r="AC319">
        <v>78</v>
      </c>
    </row>
    <row r="320" spans="1:29" x14ac:dyDescent="0.25">
      <c r="A320" t="s">
        <v>328</v>
      </c>
      <c r="B320">
        <v>543</v>
      </c>
      <c r="C320">
        <v>486</v>
      </c>
      <c r="D320">
        <v>403</v>
      </c>
      <c r="E320">
        <f t="shared" si="32"/>
        <v>347</v>
      </c>
      <c r="F320">
        <v>290</v>
      </c>
      <c r="G320">
        <f t="shared" si="33"/>
        <v>199</v>
      </c>
      <c r="H320">
        <v>107</v>
      </c>
      <c r="I320">
        <v>543</v>
      </c>
      <c r="J320">
        <v>486</v>
      </c>
      <c r="K320">
        <v>403</v>
      </c>
      <c r="L320">
        <f t="shared" si="34"/>
        <v>347</v>
      </c>
      <c r="M320">
        <v>290</v>
      </c>
      <c r="N320">
        <f t="shared" si="35"/>
        <v>199</v>
      </c>
      <c r="O320">
        <v>107</v>
      </c>
      <c r="P320">
        <v>407</v>
      </c>
      <c r="Q320">
        <v>372</v>
      </c>
      <c r="R320">
        <v>315</v>
      </c>
      <c r="S320">
        <f t="shared" si="36"/>
        <v>275</v>
      </c>
      <c r="T320">
        <v>235</v>
      </c>
      <c r="U320">
        <f t="shared" si="37"/>
        <v>164</v>
      </c>
      <c r="V320">
        <v>93</v>
      </c>
      <c r="W320">
        <v>407</v>
      </c>
      <c r="X320">
        <v>372</v>
      </c>
      <c r="Y320">
        <v>315</v>
      </c>
      <c r="Z320">
        <f t="shared" si="38"/>
        <v>275</v>
      </c>
      <c r="AA320">
        <v>235</v>
      </c>
      <c r="AB320">
        <f t="shared" si="39"/>
        <v>164</v>
      </c>
      <c r="AC320">
        <v>93</v>
      </c>
    </row>
    <row r="321" spans="1:29" x14ac:dyDescent="0.25">
      <c r="A321" t="s">
        <v>329</v>
      </c>
      <c r="B321">
        <v>484</v>
      </c>
      <c r="C321">
        <v>437</v>
      </c>
      <c r="D321">
        <v>365</v>
      </c>
      <c r="E321">
        <f t="shared" si="32"/>
        <v>315</v>
      </c>
      <c r="F321">
        <v>265</v>
      </c>
      <c r="G321">
        <f t="shared" si="33"/>
        <v>182</v>
      </c>
      <c r="H321">
        <v>98</v>
      </c>
      <c r="I321">
        <v>484</v>
      </c>
      <c r="J321">
        <v>437</v>
      </c>
      <c r="K321">
        <v>365</v>
      </c>
      <c r="L321">
        <f t="shared" si="34"/>
        <v>315</v>
      </c>
      <c r="M321">
        <v>265</v>
      </c>
      <c r="N321">
        <f t="shared" si="35"/>
        <v>182</v>
      </c>
      <c r="O321">
        <v>98</v>
      </c>
      <c r="P321">
        <v>363</v>
      </c>
      <c r="Q321">
        <v>335</v>
      </c>
      <c r="R321">
        <v>286</v>
      </c>
      <c r="S321">
        <f t="shared" si="36"/>
        <v>251</v>
      </c>
      <c r="T321">
        <v>215</v>
      </c>
      <c r="U321">
        <f t="shared" si="37"/>
        <v>151</v>
      </c>
      <c r="V321">
        <v>86</v>
      </c>
      <c r="W321">
        <v>363</v>
      </c>
      <c r="X321">
        <v>335</v>
      </c>
      <c r="Y321">
        <v>286</v>
      </c>
      <c r="Z321">
        <f t="shared" si="38"/>
        <v>251</v>
      </c>
      <c r="AA321">
        <v>215</v>
      </c>
      <c r="AB321">
        <f t="shared" si="39"/>
        <v>151</v>
      </c>
      <c r="AC321">
        <v>86</v>
      </c>
    </row>
    <row r="322" spans="1:29" x14ac:dyDescent="0.25">
      <c r="A322" t="s">
        <v>330</v>
      </c>
      <c r="B322">
        <v>425</v>
      </c>
      <c r="C322">
        <v>386</v>
      </c>
      <c r="D322">
        <v>325</v>
      </c>
      <c r="E322">
        <f t="shared" si="32"/>
        <v>281</v>
      </c>
      <c r="F322">
        <v>237</v>
      </c>
      <c r="G322">
        <f t="shared" si="33"/>
        <v>163</v>
      </c>
      <c r="H322">
        <v>89</v>
      </c>
      <c r="I322">
        <v>425</v>
      </c>
      <c r="J322">
        <v>386</v>
      </c>
      <c r="K322">
        <v>325</v>
      </c>
      <c r="L322">
        <f t="shared" si="34"/>
        <v>281</v>
      </c>
      <c r="M322">
        <v>237</v>
      </c>
      <c r="N322">
        <f t="shared" si="35"/>
        <v>163</v>
      </c>
      <c r="O322">
        <v>89</v>
      </c>
      <c r="P322">
        <v>318</v>
      </c>
      <c r="Q322">
        <v>295</v>
      </c>
      <c r="R322">
        <v>254</v>
      </c>
      <c r="S322">
        <f t="shared" si="36"/>
        <v>224</v>
      </c>
      <c r="T322">
        <v>193</v>
      </c>
      <c r="U322">
        <f t="shared" si="37"/>
        <v>136</v>
      </c>
      <c r="V322">
        <v>78</v>
      </c>
      <c r="W322">
        <v>318</v>
      </c>
      <c r="X322">
        <v>295</v>
      </c>
      <c r="Y322">
        <v>254</v>
      </c>
      <c r="Z322">
        <f t="shared" si="38"/>
        <v>224</v>
      </c>
      <c r="AA322">
        <v>193</v>
      </c>
      <c r="AB322">
        <f t="shared" si="39"/>
        <v>136</v>
      </c>
      <c r="AC322">
        <v>78</v>
      </c>
    </row>
    <row r="323" spans="1:29" x14ac:dyDescent="0.25">
      <c r="A323" t="s">
        <v>331</v>
      </c>
      <c r="B323">
        <v>475</v>
      </c>
      <c r="C323">
        <v>427</v>
      </c>
      <c r="D323">
        <v>357</v>
      </c>
      <c r="E323">
        <f t="shared" si="32"/>
        <v>307</v>
      </c>
      <c r="F323">
        <v>257</v>
      </c>
      <c r="G323">
        <f t="shared" si="33"/>
        <v>177</v>
      </c>
      <c r="H323">
        <v>96</v>
      </c>
      <c r="I323">
        <v>475</v>
      </c>
      <c r="J323">
        <v>427</v>
      </c>
      <c r="K323">
        <v>357</v>
      </c>
      <c r="L323">
        <f t="shared" si="34"/>
        <v>307</v>
      </c>
      <c r="M323">
        <v>257</v>
      </c>
      <c r="N323">
        <f t="shared" si="35"/>
        <v>177</v>
      </c>
      <c r="O323">
        <v>96</v>
      </c>
      <c r="P323">
        <v>356</v>
      </c>
      <c r="Q323">
        <v>327</v>
      </c>
      <c r="R323">
        <v>279</v>
      </c>
      <c r="S323">
        <f t="shared" si="36"/>
        <v>244</v>
      </c>
      <c r="T323">
        <v>209</v>
      </c>
      <c r="U323">
        <f t="shared" si="37"/>
        <v>146</v>
      </c>
      <c r="V323">
        <v>83</v>
      </c>
      <c r="W323">
        <v>356</v>
      </c>
      <c r="X323">
        <v>327</v>
      </c>
      <c r="Y323">
        <v>279</v>
      </c>
      <c r="Z323">
        <f t="shared" si="38"/>
        <v>244</v>
      </c>
      <c r="AA323">
        <v>209</v>
      </c>
      <c r="AB323">
        <f t="shared" si="39"/>
        <v>146</v>
      </c>
      <c r="AC323">
        <v>83</v>
      </c>
    </row>
    <row r="324" spans="1:29" x14ac:dyDescent="0.25">
      <c r="A324" t="s">
        <v>332</v>
      </c>
      <c r="B324">
        <v>415</v>
      </c>
      <c r="C324">
        <v>376</v>
      </c>
      <c r="D324">
        <v>316</v>
      </c>
      <c r="E324">
        <f t="shared" ref="E324:E387" si="40">ROUND((D324+F324)/2,0)</f>
        <v>274</v>
      </c>
      <c r="F324">
        <v>231</v>
      </c>
      <c r="G324">
        <f t="shared" ref="G324:G387" si="41">ROUND((F324+H324)/2,0)</f>
        <v>159</v>
      </c>
      <c r="H324">
        <v>87</v>
      </c>
      <c r="I324">
        <v>415</v>
      </c>
      <c r="J324">
        <v>376</v>
      </c>
      <c r="K324">
        <v>316</v>
      </c>
      <c r="L324">
        <f t="shared" ref="L324:L387" si="42">ROUND((K324+M324)/2,0)</f>
        <v>274</v>
      </c>
      <c r="M324">
        <v>231</v>
      </c>
      <c r="N324">
        <f t="shared" ref="N324:N387" si="43">ROUND((M324+O324)/2,0)</f>
        <v>159</v>
      </c>
      <c r="O324">
        <v>87</v>
      </c>
      <c r="P324">
        <v>311</v>
      </c>
      <c r="Q324">
        <v>288</v>
      </c>
      <c r="R324">
        <v>248</v>
      </c>
      <c r="S324">
        <f t="shared" ref="S324:S387" si="44">ROUND((R324+T324)/2,0)</f>
        <v>218</v>
      </c>
      <c r="T324">
        <v>187</v>
      </c>
      <c r="U324">
        <f t="shared" ref="U324:U387" si="45">ROUND((T324+V324)/2,0)</f>
        <v>132</v>
      </c>
      <c r="V324">
        <v>76</v>
      </c>
      <c r="W324">
        <v>311</v>
      </c>
      <c r="X324">
        <v>288</v>
      </c>
      <c r="Y324">
        <v>248</v>
      </c>
      <c r="Z324">
        <f t="shared" ref="Z324:Z387" si="46">ROUND((Y324+AA324)/2,0)</f>
        <v>218</v>
      </c>
      <c r="AA324">
        <v>187</v>
      </c>
      <c r="AB324">
        <f t="shared" ref="AB324:AB387" si="47">ROUND((AA324+AC324)/2,0)</f>
        <v>132</v>
      </c>
      <c r="AC324">
        <v>76</v>
      </c>
    </row>
    <row r="325" spans="1:29" x14ac:dyDescent="0.25">
      <c r="A325" t="s">
        <v>333</v>
      </c>
      <c r="B325">
        <v>405</v>
      </c>
      <c r="C325">
        <v>366</v>
      </c>
      <c r="D325">
        <v>306</v>
      </c>
      <c r="E325">
        <f t="shared" si="40"/>
        <v>265</v>
      </c>
      <c r="F325">
        <v>224</v>
      </c>
      <c r="G325">
        <f t="shared" si="41"/>
        <v>155</v>
      </c>
      <c r="H325">
        <v>85</v>
      </c>
      <c r="I325">
        <v>405</v>
      </c>
      <c r="J325">
        <v>366</v>
      </c>
      <c r="K325">
        <v>306</v>
      </c>
      <c r="L325">
        <f t="shared" si="42"/>
        <v>265</v>
      </c>
      <c r="M325">
        <v>224</v>
      </c>
      <c r="N325">
        <f t="shared" si="43"/>
        <v>155</v>
      </c>
      <c r="O325">
        <v>85</v>
      </c>
      <c r="P325">
        <v>303</v>
      </c>
      <c r="Q325">
        <v>280</v>
      </c>
      <c r="R325">
        <v>240</v>
      </c>
      <c r="S325">
        <f t="shared" si="44"/>
        <v>211</v>
      </c>
      <c r="T325">
        <v>182</v>
      </c>
      <c r="U325">
        <f t="shared" si="45"/>
        <v>128</v>
      </c>
      <c r="V325">
        <v>74</v>
      </c>
      <c r="W325">
        <v>303</v>
      </c>
      <c r="X325">
        <v>280</v>
      </c>
      <c r="Y325">
        <v>240</v>
      </c>
      <c r="Z325">
        <f t="shared" si="46"/>
        <v>211</v>
      </c>
      <c r="AA325">
        <v>182</v>
      </c>
      <c r="AB325">
        <f t="shared" si="47"/>
        <v>128</v>
      </c>
      <c r="AC325">
        <v>74</v>
      </c>
    </row>
    <row r="326" spans="1:29" x14ac:dyDescent="0.25">
      <c r="A326" t="s">
        <v>334</v>
      </c>
      <c r="B326">
        <v>1805</v>
      </c>
      <c r="C326">
        <v>1568</v>
      </c>
      <c r="D326">
        <v>1266</v>
      </c>
      <c r="E326">
        <f t="shared" si="40"/>
        <v>1079</v>
      </c>
      <c r="F326">
        <v>891</v>
      </c>
      <c r="G326">
        <f t="shared" si="41"/>
        <v>619</v>
      </c>
      <c r="H326">
        <v>347</v>
      </c>
      <c r="I326">
        <v>1213</v>
      </c>
      <c r="J326">
        <v>1047</v>
      </c>
      <c r="K326">
        <v>840</v>
      </c>
      <c r="L326">
        <f t="shared" si="42"/>
        <v>714</v>
      </c>
      <c r="M326">
        <v>588</v>
      </c>
      <c r="N326">
        <f t="shared" si="43"/>
        <v>408</v>
      </c>
      <c r="O326">
        <v>227</v>
      </c>
      <c r="P326">
        <v>1353</v>
      </c>
      <c r="Q326">
        <v>1200</v>
      </c>
      <c r="R326">
        <v>991</v>
      </c>
      <c r="S326">
        <f t="shared" si="44"/>
        <v>858</v>
      </c>
      <c r="T326">
        <v>724</v>
      </c>
      <c r="U326">
        <f t="shared" si="45"/>
        <v>513</v>
      </c>
      <c r="V326">
        <v>302</v>
      </c>
      <c r="W326">
        <v>909</v>
      </c>
      <c r="X326">
        <v>801</v>
      </c>
      <c r="Y326">
        <v>657</v>
      </c>
      <c r="Z326">
        <f t="shared" si="46"/>
        <v>568</v>
      </c>
      <c r="AA326">
        <v>478</v>
      </c>
      <c r="AB326">
        <f t="shared" si="47"/>
        <v>338</v>
      </c>
      <c r="AC326">
        <v>198</v>
      </c>
    </row>
    <row r="327" spans="1:29" x14ac:dyDescent="0.25">
      <c r="A327" t="s">
        <v>335</v>
      </c>
      <c r="B327">
        <v>1694</v>
      </c>
      <c r="C327">
        <v>1477</v>
      </c>
      <c r="D327">
        <v>1196</v>
      </c>
      <c r="E327">
        <f t="shared" si="40"/>
        <v>1020</v>
      </c>
      <c r="F327">
        <v>844</v>
      </c>
      <c r="G327">
        <f t="shared" si="41"/>
        <v>586</v>
      </c>
      <c r="H327">
        <v>328</v>
      </c>
      <c r="I327">
        <v>1163</v>
      </c>
      <c r="J327">
        <v>1006</v>
      </c>
      <c r="K327">
        <v>808</v>
      </c>
      <c r="L327">
        <f t="shared" si="42"/>
        <v>687</v>
      </c>
      <c r="M327">
        <v>566</v>
      </c>
      <c r="N327">
        <f t="shared" si="43"/>
        <v>392</v>
      </c>
      <c r="O327">
        <v>218</v>
      </c>
      <c r="P327">
        <v>1270</v>
      </c>
      <c r="Q327">
        <v>1130</v>
      </c>
      <c r="R327">
        <v>936</v>
      </c>
      <c r="S327">
        <f t="shared" si="44"/>
        <v>811</v>
      </c>
      <c r="T327">
        <v>685</v>
      </c>
      <c r="U327">
        <f t="shared" si="45"/>
        <v>486</v>
      </c>
      <c r="V327">
        <v>286</v>
      </c>
      <c r="W327">
        <v>872</v>
      </c>
      <c r="X327">
        <v>770</v>
      </c>
      <c r="Y327">
        <v>632</v>
      </c>
      <c r="Z327">
        <f t="shared" si="46"/>
        <v>546</v>
      </c>
      <c r="AA327">
        <v>459</v>
      </c>
      <c r="AB327">
        <f t="shared" si="47"/>
        <v>325</v>
      </c>
      <c r="AC327">
        <v>190</v>
      </c>
    </row>
    <row r="328" spans="1:29" x14ac:dyDescent="0.25">
      <c r="A328" t="s">
        <v>336</v>
      </c>
      <c r="B328">
        <v>1580</v>
      </c>
      <c r="C328">
        <v>1383</v>
      </c>
      <c r="D328">
        <v>1124</v>
      </c>
      <c r="E328">
        <f t="shared" si="40"/>
        <v>960</v>
      </c>
      <c r="F328">
        <v>796</v>
      </c>
      <c r="G328">
        <f t="shared" si="41"/>
        <v>553</v>
      </c>
      <c r="H328">
        <v>309</v>
      </c>
      <c r="I328">
        <v>1114</v>
      </c>
      <c r="J328">
        <v>966</v>
      </c>
      <c r="K328">
        <v>777</v>
      </c>
      <c r="L328">
        <f t="shared" si="42"/>
        <v>661</v>
      </c>
      <c r="M328">
        <v>544</v>
      </c>
      <c r="N328">
        <f t="shared" si="43"/>
        <v>377</v>
      </c>
      <c r="O328">
        <v>209</v>
      </c>
      <c r="P328">
        <v>1185</v>
      </c>
      <c r="Q328">
        <v>1058</v>
      </c>
      <c r="R328">
        <v>880</v>
      </c>
      <c r="S328">
        <f t="shared" si="44"/>
        <v>764</v>
      </c>
      <c r="T328">
        <v>647</v>
      </c>
      <c r="U328">
        <f t="shared" si="45"/>
        <v>458</v>
      </c>
      <c r="V328">
        <v>269</v>
      </c>
      <c r="W328">
        <v>835</v>
      </c>
      <c r="X328">
        <v>739</v>
      </c>
      <c r="Y328">
        <v>609</v>
      </c>
      <c r="Z328">
        <f t="shared" si="46"/>
        <v>526</v>
      </c>
      <c r="AA328">
        <v>442</v>
      </c>
      <c r="AB328">
        <f t="shared" si="47"/>
        <v>312</v>
      </c>
      <c r="AC328">
        <v>182</v>
      </c>
    </row>
    <row r="329" spans="1:29" x14ac:dyDescent="0.25">
      <c r="A329" t="s">
        <v>337</v>
      </c>
      <c r="B329">
        <v>1463</v>
      </c>
      <c r="C329">
        <v>1287</v>
      </c>
      <c r="D329">
        <v>1050</v>
      </c>
      <c r="E329">
        <f t="shared" si="40"/>
        <v>898</v>
      </c>
      <c r="F329">
        <v>745</v>
      </c>
      <c r="G329">
        <f t="shared" si="41"/>
        <v>516</v>
      </c>
      <c r="H329">
        <v>287</v>
      </c>
      <c r="I329">
        <v>1067</v>
      </c>
      <c r="J329">
        <v>927</v>
      </c>
      <c r="K329">
        <v>746</v>
      </c>
      <c r="L329">
        <f t="shared" si="42"/>
        <v>635</v>
      </c>
      <c r="M329">
        <v>523</v>
      </c>
      <c r="N329">
        <f t="shared" si="43"/>
        <v>361</v>
      </c>
      <c r="O329">
        <v>199</v>
      </c>
      <c r="P329">
        <v>1097</v>
      </c>
      <c r="Q329">
        <v>985</v>
      </c>
      <c r="R329">
        <v>822</v>
      </c>
      <c r="S329">
        <f t="shared" si="44"/>
        <v>714</v>
      </c>
      <c r="T329">
        <v>605</v>
      </c>
      <c r="U329">
        <f t="shared" si="45"/>
        <v>428</v>
      </c>
      <c r="V329">
        <v>250</v>
      </c>
      <c r="W329">
        <v>800</v>
      </c>
      <c r="X329">
        <v>709</v>
      </c>
      <c r="Y329">
        <v>584</v>
      </c>
      <c r="Z329">
        <f t="shared" si="46"/>
        <v>505</v>
      </c>
      <c r="AA329">
        <v>425</v>
      </c>
      <c r="AB329">
        <f t="shared" si="47"/>
        <v>299</v>
      </c>
      <c r="AC329">
        <v>173</v>
      </c>
    </row>
    <row r="330" spans="1:29" x14ac:dyDescent="0.25">
      <c r="A330" t="s">
        <v>338</v>
      </c>
      <c r="B330">
        <v>1340</v>
      </c>
      <c r="C330">
        <v>1184</v>
      </c>
      <c r="D330">
        <v>971</v>
      </c>
      <c r="E330">
        <f t="shared" si="40"/>
        <v>831</v>
      </c>
      <c r="F330">
        <v>691</v>
      </c>
      <c r="G330">
        <f t="shared" si="41"/>
        <v>479</v>
      </c>
      <c r="H330">
        <v>266</v>
      </c>
      <c r="I330">
        <v>1017</v>
      </c>
      <c r="J330">
        <v>885</v>
      </c>
      <c r="K330">
        <v>714</v>
      </c>
      <c r="L330">
        <f t="shared" si="42"/>
        <v>607</v>
      </c>
      <c r="M330">
        <v>500</v>
      </c>
      <c r="N330">
        <f t="shared" si="43"/>
        <v>345</v>
      </c>
      <c r="O330">
        <v>190</v>
      </c>
      <c r="P330">
        <v>1004</v>
      </c>
      <c r="Q330">
        <v>906</v>
      </c>
      <c r="R330">
        <v>760</v>
      </c>
      <c r="S330">
        <f t="shared" si="44"/>
        <v>661</v>
      </c>
      <c r="T330">
        <v>561</v>
      </c>
      <c r="U330">
        <f t="shared" si="45"/>
        <v>397</v>
      </c>
      <c r="V330">
        <v>232</v>
      </c>
      <c r="W330">
        <v>762</v>
      </c>
      <c r="X330">
        <v>678</v>
      </c>
      <c r="Y330">
        <v>559</v>
      </c>
      <c r="Z330">
        <f t="shared" si="46"/>
        <v>483</v>
      </c>
      <c r="AA330">
        <v>406</v>
      </c>
      <c r="AB330">
        <f t="shared" si="47"/>
        <v>286</v>
      </c>
      <c r="AC330">
        <v>165</v>
      </c>
    </row>
    <row r="331" spans="1:29" x14ac:dyDescent="0.25">
      <c r="A331" t="s">
        <v>339</v>
      </c>
      <c r="B331">
        <v>1208</v>
      </c>
      <c r="C331">
        <v>1072</v>
      </c>
      <c r="D331">
        <v>885</v>
      </c>
      <c r="E331">
        <f t="shared" si="40"/>
        <v>758</v>
      </c>
      <c r="F331">
        <v>631</v>
      </c>
      <c r="G331">
        <f t="shared" si="41"/>
        <v>436</v>
      </c>
      <c r="H331">
        <v>241</v>
      </c>
      <c r="I331">
        <v>965</v>
      </c>
      <c r="J331">
        <v>842</v>
      </c>
      <c r="K331">
        <v>682</v>
      </c>
      <c r="L331">
        <f t="shared" si="42"/>
        <v>580</v>
      </c>
      <c r="M331">
        <v>477</v>
      </c>
      <c r="N331">
        <f t="shared" si="43"/>
        <v>328</v>
      </c>
      <c r="O331">
        <v>179</v>
      </c>
      <c r="P331">
        <v>906</v>
      </c>
      <c r="Q331">
        <v>820</v>
      </c>
      <c r="R331">
        <v>693</v>
      </c>
      <c r="S331">
        <f t="shared" si="44"/>
        <v>603</v>
      </c>
      <c r="T331">
        <v>512</v>
      </c>
      <c r="U331">
        <f t="shared" si="45"/>
        <v>361</v>
      </c>
      <c r="V331">
        <v>210</v>
      </c>
      <c r="W331">
        <v>724</v>
      </c>
      <c r="X331">
        <v>644</v>
      </c>
      <c r="Y331">
        <v>534</v>
      </c>
      <c r="Z331">
        <f t="shared" si="46"/>
        <v>461</v>
      </c>
      <c r="AA331">
        <v>387</v>
      </c>
      <c r="AB331">
        <f t="shared" si="47"/>
        <v>272</v>
      </c>
      <c r="AC331">
        <v>156</v>
      </c>
    </row>
    <row r="332" spans="1:29" x14ac:dyDescent="0.25">
      <c r="A332" t="s">
        <v>340</v>
      </c>
      <c r="B332">
        <v>1077</v>
      </c>
      <c r="C332">
        <v>952</v>
      </c>
      <c r="D332">
        <v>790</v>
      </c>
      <c r="E332">
        <f t="shared" si="40"/>
        <v>677</v>
      </c>
      <c r="F332">
        <v>564</v>
      </c>
      <c r="G332">
        <f t="shared" si="41"/>
        <v>390</v>
      </c>
      <c r="H332">
        <v>215</v>
      </c>
      <c r="I332">
        <v>920</v>
      </c>
      <c r="J332">
        <v>797</v>
      </c>
      <c r="K332">
        <v>648</v>
      </c>
      <c r="L332">
        <f t="shared" si="42"/>
        <v>550</v>
      </c>
      <c r="M332">
        <v>452</v>
      </c>
      <c r="N332">
        <f t="shared" si="43"/>
        <v>311</v>
      </c>
      <c r="O332">
        <v>170</v>
      </c>
      <c r="P332">
        <v>807</v>
      </c>
      <c r="Q332">
        <v>729</v>
      </c>
      <c r="R332">
        <v>618</v>
      </c>
      <c r="S332">
        <f t="shared" si="44"/>
        <v>538</v>
      </c>
      <c r="T332">
        <v>458</v>
      </c>
      <c r="U332">
        <f t="shared" si="45"/>
        <v>323</v>
      </c>
      <c r="V332">
        <v>187</v>
      </c>
      <c r="W332">
        <v>689</v>
      </c>
      <c r="X332">
        <v>610</v>
      </c>
      <c r="Y332">
        <v>507</v>
      </c>
      <c r="Z332">
        <f t="shared" si="46"/>
        <v>437</v>
      </c>
      <c r="AA332">
        <v>367</v>
      </c>
      <c r="AB332">
        <f t="shared" si="47"/>
        <v>258</v>
      </c>
      <c r="AC332">
        <v>148</v>
      </c>
    </row>
    <row r="333" spans="1:29" x14ac:dyDescent="0.25">
      <c r="A333" t="s">
        <v>341</v>
      </c>
      <c r="B333">
        <v>1693</v>
      </c>
      <c r="C333">
        <v>1473</v>
      </c>
      <c r="D333">
        <v>1191</v>
      </c>
      <c r="E333">
        <f t="shared" si="40"/>
        <v>1015</v>
      </c>
      <c r="F333">
        <v>839</v>
      </c>
      <c r="G333">
        <f t="shared" si="41"/>
        <v>582</v>
      </c>
      <c r="H333">
        <v>325</v>
      </c>
      <c r="I333">
        <v>1163</v>
      </c>
      <c r="J333">
        <v>1005</v>
      </c>
      <c r="K333">
        <v>807</v>
      </c>
      <c r="L333">
        <f t="shared" si="42"/>
        <v>685</v>
      </c>
      <c r="M333">
        <v>563</v>
      </c>
      <c r="N333">
        <f t="shared" si="43"/>
        <v>390</v>
      </c>
      <c r="O333">
        <v>217</v>
      </c>
      <c r="P333">
        <v>1269</v>
      </c>
      <c r="Q333">
        <v>1127</v>
      </c>
      <c r="R333">
        <v>932</v>
      </c>
      <c r="S333">
        <f t="shared" si="44"/>
        <v>807</v>
      </c>
      <c r="T333">
        <v>681</v>
      </c>
      <c r="U333">
        <f t="shared" si="45"/>
        <v>482</v>
      </c>
      <c r="V333">
        <v>283</v>
      </c>
      <c r="W333">
        <v>872</v>
      </c>
      <c r="X333">
        <v>769</v>
      </c>
      <c r="Y333">
        <v>631</v>
      </c>
      <c r="Z333">
        <f t="shared" si="46"/>
        <v>544</v>
      </c>
      <c r="AA333">
        <v>457</v>
      </c>
      <c r="AB333">
        <f t="shared" si="47"/>
        <v>323</v>
      </c>
      <c r="AC333">
        <v>189</v>
      </c>
    </row>
    <row r="334" spans="1:29" x14ac:dyDescent="0.25">
      <c r="A334" t="s">
        <v>342</v>
      </c>
      <c r="B334">
        <v>1578</v>
      </c>
      <c r="C334">
        <v>1379</v>
      </c>
      <c r="D334">
        <v>1119</v>
      </c>
      <c r="E334">
        <f t="shared" si="40"/>
        <v>955</v>
      </c>
      <c r="F334">
        <v>790</v>
      </c>
      <c r="G334">
        <f t="shared" si="41"/>
        <v>548</v>
      </c>
      <c r="H334">
        <v>305</v>
      </c>
      <c r="I334">
        <v>1114</v>
      </c>
      <c r="J334">
        <v>964</v>
      </c>
      <c r="K334">
        <v>775</v>
      </c>
      <c r="L334">
        <f t="shared" si="42"/>
        <v>659</v>
      </c>
      <c r="M334">
        <v>542</v>
      </c>
      <c r="N334">
        <f t="shared" si="43"/>
        <v>375</v>
      </c>
      <c r="O334">
        <v>207</v>
      </c>
      <c r="P334">
        <v>1183</v>
      </c>
      <c r="Q334">
        <v>1055</v>
      </c>
      <c r="R334">
        <v>876</v>
      </c>
      <c r="S334">
        <f t="shared" si="44"/>
        <v>759</v>
      </c>
      <c r="T334">
        <v>642</v>
      </c>
      <c r="U334">
        <f t="shared" si="45"/>
        <v>454</v>
      </c>
      <c r="V334">
        <v>266</v>
      </c>
      <c r="W334">
        <v>835</v>
      </c>
      <c r="X334">
        <v>738</v>
      </c>
      <c r="Y334">
        <v>607</v>
      </c>
      <c r="Z334">
        <f t="shared" si="46"/>
        <v>524</v>
      </c>
      <c r="AA334">
        <v>440</v>
      </c>
      <c r="AB334">
        <f t="shared" si="47"/>
        <v>310</v>
      </c>
      <c r="AC334">
        <v>180</v>
      </c>
    </row>
    <row r="335" spans="1:29" x14ac:dyDescent="0.25">
      <c r="A335" t="s">
        <v>343</v>
      </c>
      <c r="B335">
        <v>1459</v>
      </c>
      <c r="C335">
        <v>1281</v>
      </c>
      <c r="D335">
        <v>1044</v>
      </c>
      <c r="E335">
        <f t="shared" si="40"/>
        <v>892</v>
      </c>
      <c r="F335">
        <v>740</v>
      </c>
      <c r="G335">
        <f t="shared" si="41"/>
        <v>513</v>
      </c>
      <c r="H335">
        <v>285</v>
      </c>
      <c r="I335">
        <v>1064</v>
      </c>
      <c r="J335">
        <v>924</v>
      </c>
      <c r="K335">
        <v>745</v>
      </c>
      <c r="L335">
        <f t="shared" si="42"/>
        <v>633</v>
      </c>
      <c r="M335">
        <v>521</v>
      </c>
      <c r="N335">
        <f t="shared" si="43"/>
        <v>360</v>
      </c>
      <c r="O335">
        <v>198</v>
      </c>
      <c r="P335">
        <v>1094</v>
      </c>
      <c r="Q335">
        <v>980</v>
      </c>
      <c r="R335">
        <v>817</v>
      </c>
      <c r="S335">
        <f t="shared" si="44"/>
        <v>709</v>
      </c>
      <c r="T335">
        <v>601</v>
      </c>
      <c r="U335">
        <f t="shared" si="45"/>
        <v>425</v>
      </c>
      <c r="V335">
        <v>248</v>
      </c>
      <c r="W335">
        <v>797</v>
      </c>
      <c r="X335">
        <v>707</v>
      </c>
      <c r="Y335">
        <v>583</v>
      </c>
      <c r="Z335">
        <f t="shared" si="46"/>
        <v>503</v>
      </c>
      <c r="AA335">
        <v>423</v>
      </c>
      <c r="AB335">
        <f t="shared" si="47"/>
        <v>298</v>
      </c>
      <c r="AC335">
        <v>172</v>
      </c>
    </row>
    <row r="336" spans="1:29" x14ac:dyDescent="0.25">
      <c r="A336" t="s">
        <v>344</v>
      </c>
      <c r="B336">
        <v>1336</v>
      </c>
      <c r="C336">
        <v>1178</v>
      </c>
      <c r="D336">
        <v>965</v>
      </c>
      <c r="E336">
        <f t="shared" si="40"/>
        <v>826</v>
      </c>
      <c r="F336">
        <v>686</v>
      </c>
      <c r="G336">
        <f t="shared" si="41"/>
        <v>475</v>
      </c>
      <c r="H336">
        <v>263</v>
      </c>
      <c r="I336">
        <v>1015</v>
      </c>
      <c r="J336">
        <v>883</v>
      </c>
      <c r="K336">
        <v>712</v>
      </c>
      <c r="L336">
        <f t="shared" si="42"/>
        <v>605</v>
      </c>
      <c r="M336">
        <v>498</v>
      </c>
      <c r="N336">
        <f t="shared" si="43"/>
        <v>343</v>
      </c>
      <c r="O336">
        <v>188</v>
      </c>
      <c r="P336">
        <v>1001</v>
      </c>
      <c r="Q336">
        <v>902</v>
      </c>
      <c r="R336">
        <v>756</v>
      </c>
      <c r="S336">
        <f t="shared" si="44"/>
        <v>657</v>
      </c>
      <c r="T336">
        <v>557</v>
      </c>
      <c r="U336">
        <f t="shared" si="45"/>
        <v>393</v>
      </c>
      <c r="V336">
        <v>229</v>
      </c>
      <c r="W336">
        <v>760</v>
      </c>
      <c r="X336">
        <v>676</v>
      </c>
      <c r="Y336">
        <v>558</v>
      </c>
      <c r="Z336">
        <f t="shared" si="46"/>
        <v>481</v>
      </c>
      <c r="AA336">
        <v>404</v>
      </c>
      <c r="AB336">
        <f t="shared" si="47"/>
        <v>284</v>
      </c>
      <c r="AC336">
        <v>164</v>
      </c>
    </row>
    <row r="337" spans="1:29" x14ac:dyDescent="0.25">
      <c r="A337" t="s">
        <v>345</v>
      </c>
      <c r="B337">
        <v>1206</v>
      </c>
      <c r="C337">
        <v>1070</v>
      </c>
      <c r="D337">
        <v>881</v>
      </c>
      <c r="E337">
        <f t="shared" si="40"/>
        <v>754</v>
      </c>
      <c r="F337">
        <v>627</v>
      </c>
      <c r="G337">
        <f t="shared" si="41"/>
        <v>434</v>
      </c>
      <c r="H337">
        <v>240</v>
      </c>
      <c r="I337">
        <v>964</v>
      </c>
      <c r="J337">
        <v>841</v>
      </c>
      <c r="K337">
        <v>680</v>
      </c>
      <c r="L337">
        <f t="shared" si="42"/>
        <v>579</v>
      </c>
      <c r="M337">
        <v>477</v>
      </c>
      <c r="N337">
        <f t="shared" si="43"/>
        <v>328</v>
      </c>
      <c r="O337">
        <v>179</v>
      </c>
      <c r="P337">
        <v>904</v>
      </c>
      <c r="Q337">
        <v>819</v>
      </c>
      <c r="R337">
        <v>690</v>
      </c>
      <c r="S337">
        <f t="shared" si="44"/>
        <v>600</v>
      </c>
      <c r="T337">
        <v>509</v>
      </c>
      <c r="U337">
        <f t="shared" si="45"/>
        <v>359</v>
      </c>
      <c r="V337">
        <v>209</v>
      </c>
      <c r="W337">
        <v>723</v>
      </c>
      <c r="X337">
        <v>644</v>
      </c>
      <c r="Y337">
        <v>533</v>
      </c>
      <c r="Z337">
        <f t="shared" si="46"/>
        <v>460</v>
      </c>
      <c r="AA337">
        <v>387</v>
      </c>
      <c r="AB337">
        <f t="shared" si="47"/>
        <v>272</v>
      </c>
      <c r="AC337">
        <v>156</v>
      </c>
    </row>
    <row r="338" spans="1:29" x14ac:dyDescent="0.25">
      <c r="A338" t="s">
        <v>346</v>
      </c>
      <c r="B338">
        <v>1075</v>
      </c>
      <c r="C338">
        <v>951</v>
      </c>
      <c r="D338">
        <v>786</v>
      </c>
      <c r="E338">
        <f t="shared" si="40"/>
        <v>674</v>
      </c>
      <c r="F338">
        <v>562</v>
      </c>
      <c r="G338">
        <f t="shared" si="41"/>
        <v>389</v>
      </c>
      <c r="H338">
        <v>215</v>
      </c>
      <c r="I338">
        <v>919</v>
      </c>
      <c r="J338">
        <v>798</v>
      </c>
      <c r="K338">
        <v>646</v>
      </c>
      <c r="L338">
        <f t="shared" si="42"/>
        <v>549</v>
      </c>
      <c r="M338">
        <v>452</v>
      </c>
      <c r="N338">
        <f t="shared" si="43"/>
        <v>311</v>
      </c>
      <c r="O338">
        <v>170</v>
      </c>
      <c r="P338">
        <v>806</v>
      </c>
      <c r="Q338">
        <v>727</v>
      </c>
      <c r="R338">
        <v>615</v>
      </c>
      <c r="S338">
        <f t="shared" si="44"/>
        <v>536</v>
      </c>
      <c r="T338">
        <v>456</v>
      </c>
      <c r="U338">
        <f t="shared" si="45"/>
        <v>322</v>
      </c>
      <c r="V338">
        <v>187</v>
      </c>
      <c r="W338">
        <v>689</v>
      </c>
      <c r="X338">
        <v>610</v>
      </c>
      <c r="Y338">
        <v>506</v>
      </c>
      <c r="Z338">
        <f t="shared" si="46"/>
        <v>436</v>
      </c>
      <c r="AA338">
        <v>366</v>
      </c>
      <c r="AB338">
        <f t="shared" si="47"/>
        <v>257</v>
      </c>
      <c r="AC338">
        <v>148</v>
      </c>
    </row>
    <row r="339" spans="1:29" x14ac:dyDescent="0.25">
      <c r="A339" t="s">
        <v>347</v>
      </c>
      <c r="B339">
        <v>925</v>
      </c>
      <c r="C339">
        <v>822</v>
      </c>
      <c r="D339">
        <v>684</v>
      </c>
      <c r="E339">
        <f t="shared" si="40"/>
        <v>588</v>
      </c>
      <c r="F339">
        <v>491</v>
      </c>
      <c r="G339">
        <f t="shared" si="41"/>
        <v>339</v>
      </c>
      <c r="H339">
        <v>186</v>
      </c>
      <c r="I339">
        <v>865</v>
      </c>
      <c r="J339">
        <v>752</v>
      </c>
      <c r="K339">
        <v>610</v>
      </c>
      <c r="L339">
        <f t="shared" si="42"/>
        <v>519</v>
      </c>
      <c r="M339">
        <v>427</v>
      </c>
      <c r="N339">
        <f t="shared" si="43"/>
        <v>293</v>
      </c>
      <c r="O339">
        <v>158</v>
      </c>
      <c r="P339">
        <v>693</v>
      </c>
      <c r="Q339">
        <v>629</v>
      </c>
      <c r="R339">
        <v>535</v>
      </c>
      <c r="S339">
        <f t="shared" si="44"/>
        <v>467</v>
      </c>
      <c r="T339">
        <v>399</v>
      </c>
      <c r="U339">
        <f t="shared" si="45"/>
        <v>281</v>
      </c>
      <c r="V339">
        <v>162</v>
      </c>
      <c r="W339">
        <v>648</v>
      </c>
      <c r="X339">
        <v>576</v>
      </c>
      <c r="Y339">
        <v>477</v>
      </c>
      <c r="Z339">
        <f t="shared" si="46"/>
        <v>412</v>
      </c>
      <c r="AA339">
        <v>347</v>
      </c>
      <c r="AB339">
        <f t="shared" si="47"/>
        <v>243</v>
      </c>
      <c r="AC339">
        <v>138</v>
      </c>
    </row>
    <row r="340" spans="1:29" x14ac:dyDescent="0.25">
      <c r="A340" t="s">
        <v>348</v>
      </c>
      <c r="B340">
        <v>1574</v>
      </c>
      <c r="C340">
        <v>1374</v>
      </c>
      <c r="D340">
        <v>1114</v>
      </c>
      <c r="E340">
        <f t="shared" si="40"/>
        <v>949</v>
      </c>
      <c r="F340">
        <v>784</v>
      </c>
      <c r="G340">
        <f t="shared" si="41"/>
        <v>543</v>
      </c>
      <c r="H340">
        <v>301</v>
      </c>
      <c r="I340">
        <v>1112</v>
      </c>
      <c r="J340">
        <v>962</v>
      </c>
      <c r="K340">
        <v>773</v>
      </c>
      <c r="L340">
        <f t="shared" si="42"/>
        <v>656</v>
      </c>
      <c r="M340">
        <v>539</v>
      </c>
      <c r="N340">
        <f t="shared" si="43"/>
        <v>372</v>
      </c>
      <c r="O340">
        <v>205</v>
      </c>
      <c r="P340">
        <v>1180</v>
      </c>
      <c r="Q340">
        <v>1052</v>
      </c>
      <c r="R340">
        <v>872</v>
      </c>
      <c r="S340">
        <f t="shared" si="44"/>
        <v>755</v>
      </c>
      <c r="T340">
        <v>637</v>
      </c>
      <c r="U340">
        <f t="shared" si="45"/>
        <v>450</v>
      </c>
      <c r="V340">
        <v>262</v>
      </c>
      <c r="W340">
        <v>834</v>
      </c>
      <c r="X340">
        <v>736</v>
      </c>
      <c r="Y340">
        <v>605</v>
      </c>
      <c r="Z340">
        <f t="shared" si="46"/>
        <v>522</v>
      </c>
      <c r="AA340">
        <v>438</v>
      </c>
      <c r="AB340">
        <f t="shared" si="47"/>
        <v>309</v>
      </c>
      <c r="AC340">
        <v>179</v>
      </c>
    </row>
    <row r="341" spans="1:29" x14ac:dyDescent="0.25">
      <c r="A341" t="s">
        <v>349</v>
      </c>
      <c r="B341">
        <v>1454</v>
      </c>
      <c r="C341">
        <v>1275</v>
      </c>
      <c r="D341">
        <v>1038</v>
      </c>
      <c r="E341">
        <f t="shared" si="40"/>
        <v>886</v>
      </c>
      <c r="F341">
        <v>733</v>
      </c>
      <c r="G341">
        <f t="shared" si="41"/>
        <v>507</v>
      </c>
      <c r="H341">
        <v>280</v>
      </c>
      <c r="I341">
        <v>1062</v>
      </c>
      <c r="J341">
        <v>922</v>
      </c>
      <c r="K341">
        <v>741</v>
      </c>
      <c r="L341">
        <f t="shared" si="42"/>
        <v>629</v>
      </c>
      <c r="M341">
        <v>517</v>
      </c>
      <c r="N341">
        <f t="shared" si="43"/>
        <v>356</v>
      </c>
      <c r="O341">
        <v>195</v>
      </c>
      <c r="P341">
        <v>1090</v>
      </c>
      <c r="Q341">
        <v>976</v>
      </c>
      <c r="R341">
        <v>813</v>
      </c>
      <c r="S341">
        <f t="shared" si="44"/>
        <v>705</v>
      </c>
      <c r="T341">
        <v>596</v>
      </c>
      <c r="U341">
        <f t="shared" si="45"/>
        <v>420</v>
      </c>
      <c r="V341">
        <v>244</v>
      </c>
      <c r="W341">
        <v>796</v>
      </c>
      <c r="X341">
        <v>706</v>
      </c>
      <c r="Y341">
        <v>580</v>
      </c>
      <c r="Z341">
        <f t="shared" si="46"/>
        <v>501</v>
      </c>
      <c r="AA341">
        <v>421</v>
      </c>
      <c r="AB341">
        <f t="shared" si="47"/>
        <v>296</v>
      </c>
      <c r="AC341">
        <v>170</v>
      </c>
    </row>
    <row r="342" spans="1:29" x14ac:dyDescent="0.25">
      <c r="A342" t="s">
        <v>350</v>
      </c>
      <c r="B342">
        <v>1331</v>
      </c>
      <c r="C342">
        <v>1172</v>
      </c>
      <c r="D342">
        <v>959</v>
      </c>
      <c r="E342">
        <f t="shared" si="40"/>
        <v>820</v>
      </c>
      <c r="F342">
        <v>680</v>
      </c>
      <c r="G342">
        <f t="shared" si="41"/>
        <v>471</v>
      </c>
      <c r="H342">
        <v>261</v>
      </c>
      <c r="I342">
        <v>1013</v>
      </c>
      <c r="J342">
        <v>879</v>
      </c>
      <c r="K342">
        <v>711</v>
      </c>
      <c r="L342">
        <f t="shared" si="42"/>
        <v>604</v>
      </c>
      <c r="M342">
        <v>497</v>
      </c>
      <c r="N342">
        <f t="shared" si="43"/>
        <v>343</v>
      </c>
      <c r="O342">
        <v>188</v>
      </c>
      <c r="P342">
        <v>997</v>
      </c>
      <c r="Q342">
        <v>897</v>
      </c>
      <c r="R342">
        <v>751</v>
      </c>
      <c r="S342">
        <f t="shared" si="44"/>
        <v>652</v>
      </c>
      <c r="T342">
        <v>552</v>
      </c>
      <c r="U342">
        <f t="shared" si="45"/>
        <v>390</v>
      </c>
      <c r="V342">
        <v>227</v>
      </c>
      <c r="W342">
        <v>759</v>
      </c>
      <c r="X342">
        <v>673</v>
      </c>
      <c r="Y342">
        <v>557</v>
      </c>
      <c r="Z342">
        <f t="shared" si="46"/>
        <v>480</v>
      </c>
      <c r="AA342">
        <v>403</v>
      </c>
      <c r="AB342">
        <f t="shared" si="47"/>
        <v>283</v>
      </c>
      <c r="AC342">
        <v>163</v>
      </c>
    </row>
    <row r="343" spans="1:29" x14ac:dyDescent="0.25">
      <c r="A343" t="s">
        <v>351</v>
      </c>
      <c r="B343">
        <v>1202</v>
      </c>
      <c r="C343">
        <v>1064</v>
      </c>
      <c r="D343">
        <v>876</v>
      </c>
      <c r="E343">
        <f t="shared" si="40"/>
        <v>750</v>
      </c>
      <c r="F343">
        <v>623</v>
      </c>
      <c r="G343">
        <f t="shared" si="41"/>
        <v>431</v>
      </c>
      <c r="H343">
        <v>238</v>
      </c>
      <c r="I343">
        <v>964</v>
      </c>
      <c r="J343">
        <v>838</v>
      </c>
      <c r="K343">
        <v>678</v>
      </c>
      <c r="L343">
        <f t="shared" si="42"/>
        <v>576</v>
      </c>
      <c r="M343">
        <v>474</v>
      </c>
      <c r="N343">
        <f t="shared" si="43"/>
        <v>326</v>
      </c>
      <c r="O343">
        <v>178</v>
      </c>
      <c r="P343">
        <v>901</v>
      </c>
      <c r="Q343">
        <v>814</v>
      </c>
      <c r="R343">
        <v>686</v>
      </c>
      <c r="S343">
        <f t="shared" si="44"/>
        <v>596</v>
      </c>
      <c r="T343">
        <v>506</v>
      </c>
      <c r="U343">
        <f t="shared" si="45"/>
        <v>357</v>
      </c>
      <c r="V343">
        <v>207</v>
      </c>
      <c r="W343">
        <v>722</v>
      </c>
      <c r="X343">
        <v>641</v>
      </c>
      <c r="Y343">
        <v>531</v>
      </c>
      <c r="Z343">
        <f t="shared" si="46"/>
        <v>458</v>
      </c>
      <c r="AA343">
        <v>385</v>
      </c>
      <c r="AB343">
        <f t="shared" si="47"/>
        <v>270</v>
      </c>
      <c r="AC343">
        <v>155</v>
      </c>
    </row>
    <row r="344" spans="1:29" x14ac:dyDescent="0.25">
      <c r="A344" t="s">
        <v>352</v>
      </c>
      <c r="B344">
        <v>1072</v>
      </c>
      <c r="C344">
        <v>947</v>
      </c>
      <c r="D344">
        <v>782</v>
      </c>
      <c r="E344">
        <f t="shared" si="40"/>
        <v>671</v>
      </c>
      <c r="F344">
        <v>559</v>
      </c>
      <c r="G344">
        <f t="shared" si="41"/>
        <v>386</v>
      </c>
      <c r="H344">
        <v>213</v>
      </c>
      <c r="I344">
        <v>918</v>
      </c>
      <c r="J344">
        <v>795</v>
      </c>
      <c r="K344">
        <v>645</v>
      </c>
      <c r="L344">
        <f t="shared" si="42"/>
        <v>548</v>
      </c>
      <c r="M344">
        <v>451</v>
      </c>
      <c r="N344">
        <f t="shared" si="43"/>
        <v>310</v>
      </c>
      <c r="O344">
        <v>168</v>
      </c>
      <c r="P344">
        <v>803</v>
      </c>
      <c r="Q344">
        <v>725</v>
      </c>
      <c r="R344">
        <v>612</v>
      </c>
      <c r="S344">
        <f t="shared" si="44"/>
        <v>533</v>
      </c>
      <c r="T344">
        <v>454</v>
      </c>
      <c r="U344">
        <f t="shared" si="45"/>
        <v>320</v>
      </c>
      <c r="V344">
        <v>186</v>
      </c>
      <c r="W344">
        <v>688</v>
      </c>
      <c r="X344">
        <v>609</v>
      </c>
      <c r="Y344">
        <v>504</v>
      </c>
      <c r="Z344">
        <f t="shared" si="46"/>
        <v>435</v>
      </c>
      <c r="AA344">
        <v>366</v>
      </c>
      <c r="AB344">
        <f t="shared" si="47"/>
        <v>257</v>
      </c>
      <c r="AC344">
        <v>147</v>
      </c>
    </row>
    <row r="345" spans="1:29" x14ac:dyDescent="0.25">
      <c r="A345" t="s">
        <v>353</v>
      </c>
      <c r="B345">
        <v>921</v>
      </c>
      <c r="C345">
        <v>820</v>
      </c>
      <c r="D345">
        <v>682</v>
      </c>
      <c r="E345">
        <f t="shared" si="40"/>
        <v>586</v>
      </c>
      <c r="F345">
        <v>489</v>
      </c>
      <c r="G345">
        <f t="shared" si="41"/>
        <v>337</v>
      </c>
      <c r="H345">
        <v>185</v>
      </c>
      <c r="I345">
        <v>863</v>
      </c>
      <c r="J345">
        <v>750</v>
      </c>
      <c r="K345">
        <v>610</v>
      </c>
      <c r="L345">
        <f t="shared" si="42"/>
        <v>518</v>
      </c>
      <c r="M345">
        <v>426</v>
      </c>
      <c r="N345">
        <f t="shared" si="43"/>
        <v>292</v>
      </c>
      <c r="O345">
        <v>158</v>
      </c>
      <c r="P345">
        <v>691</v>
      </c>
      <c r="Q345">
        <v>627</v>
      </c>
      <c r="R345">
        <v>534</v>
      </c>
      <c r="S345">
        <f t="shared" si="44"/>
        <v>466</v>
      </c>
      <c r="T345">
        <v>397</v>
      </c>
      <c r="U345">
        <f t="shared" si="45"/>
        <v>279</v>
      </c>
      <c r="V345">
        <v>161</v>
      </c>
      <c r="W345">
        <v>647</v>
      </c>
      <c r="X345">
        <v>574</v>
      </c>
      <c r="Y345">
        <v>478</v>
      </c>
      <c r="Z345">
        <f t="shared" si="46"/>
        <v>412</v>
      </c>
      <c r="AA345">
        <v>346</v>
      </c>
      <c r="AB345">
        <f t="shared" si="47"/>
        <v>242</v>
      </c>
      <c r="AC345">
        <v>138</v>
      </c>
    </row>
    <row r="346" spans="1:29" x14ac:dyDescent="0.25">
      <c r="A346" t="s">
        <v>354</v>
      </c>
      <c r="B346">
        <v>841</v>
      </c>
      <c r="C346">
        <v>740</v>
      </c>
      <c r="D346">
        <v>601</v>
      </c>
      <c r="E346">
        <f t="shared" si="40"/>
        <v>511</v>
      </c>
      <c r="F346">
        <v>421</v>
      </c>
      <c r="G346">
        <f t="shared" si="41"/>
        <v>289</v>
      </c>
      <c r="H346">
        <v>156</v>
      </c>
      <c r="I346">
        <v>841</v>
      </c>
      <c r="J346">
        <v>740</v>
      </c>
      <c r="K346">
        <v>601</v>
      </c>
      <c r="L346">
        <f t="shared" si="42"/>
        <v>511</v>
      </c>
      <c r="M346">
        <v>421</v>
      </c>
      <c r="N346">
        <f t="shared" si="43"/>
        <v>289</v>
      </c>
      <c r="O346">
        <v>156</v>
      </c>
      <c r="P346">
        <v>630</v>
      </c>
      <c r="Q346">
        <v>566</v>
      </c>
      <c r="R346">
        <v>471</v>
      </c>
      <c r="S346">
        <f t="shared" si="44"/>
        <v>407</v>
      </c>
      <c r="T346">
        <v>342</v>
      </c>
      <c r="U346">
        <f t="shared" si="45"/>
        <v>239</v>
      </c>
      <c r="V346">
        <v>136</v>
      </c>
      <c r="W346">
        <v>630</v>
      </c>
      <c r="X346">
        <v>566</v>
      </c>
      <c r="Y346">
        <v>471</v>
      </c>
      <c r="Z346">
        <f t="shared" si="46"/>
        <v>407</v>
      </c>
      <c r="AA346">
        <v>342</v>
      </c>
      <c r="AB346">
        <f t="shared" si="47"/>
        <v>239</v>
      </c>
      <c r="AC346">
        <v>136</v>
      </c>
    </row>
    <row r="347" spans="1:29" x14ac:dyDescent="0.25">
      <c r="A347" t="s">
        <v>355</v>
      </c>
      <c r="B347">
        <v>1451</v>
      </c>
      <c r="C347">
        <v>1269</v>
      </c>
      <c r="D347">
        <v>1032</v>
      </c>
      <c r="E347">
        <f t="shared" si="40"/>
        <v>880</v>
      </c>
      <c r="F347">
        <v>727</v>
      </c>
      <c r="G347">
        <f t="shared" si="41"/>
        <v>502</v>
      </c>
      <c r="H347">
        <v>277</v>
      </c>
      <c r="I347">
        <v>1061</v>
      </c>
      <c r="J347">
        <v>919</v>
      </c>
      <c r="K347">
        <v>739</v>
      </c>
      <c r="L347">
        <f t="shared" si="42"/>
        <v>627</v>
      </c>
      <c r="M347">
        <v>515</v>
      </c>
      <c r="N347">
        <f t="shared" si="43"/>
        <v>355</v>
      </c>
      <c r="O347">
        <v>194</v>
      </c>
      <c r="P347">
        <v>1088</v>
      </c>
      <c r="Q347">
        <v>971</v>
      </c>
      <c r="R347">
        <v>808</v>
      </c>
      <c r="S347">
        <f t="shared" si="44"/>
        <v>700</v>
      </c>
      <c r="T347">
        <v>591</v>
      </c>
      <c r="U347">
        <f t="shared" si="45"/>
        <v>416</v>
      </c>
      <c r="V347">
        <v>241</v>
      </c>
      <c r="W347">
        <v>796</v>
      </c>
      <c r="X347">
        <v>703</v>
      </c>
      <c r="Y347">
        <v>578</v>
      </c>
      <c r="Z347">
        <f t="shared" si="46"/>
        <v>499</v>
      </c>
      <c r="AA347">
        <v>419</v>
      </c>
      <c r="AB347">
        <f t="shared" si="47"/>
        <v>294</v>
      </c>
      <c r="AC347">
        <v>169</v>
      </c>
    </row>
    <row r="348" spans="1:29" x14ac:dyDescent="0.25">
      <c r="A348" t="s">
        <v>356</v>
      </c>
      <c r="B348">
        <v>1325</v>
      </c>
      <c r="C348">
        <v>1166</v>
      </c>
      <c r="D348">
        <v>953</v>
      </c>
      <c r="E348">
        <f t="shared" si="40"/>
        <v>813</v>
      </c>
      <c r="F348">
        <v>673</v>
      </c>
      <c r="G348">
        <f t="shared" si="41"/>
        <v>465</v>
      </c>
      <c r="H348">
        <v>256</v>
      </c>
      <c r="I348">
        <v>1010</v>
      </c>
      <c r="J348">
        <v>878</v>
      </c>
      <c r="K348">
        <v>708</v>
      </c>
      <c r="L348">
        <f t="shared" si="42"/>
        <v>601</v>
      </c>
      <c r="M348">
        <v>494</v>
      </c>
      <c r="N348">
        <f t="shared" si="43"/>
        <v>340</v>
      </c>
      <c r="O348">
        <v>185</v>
      </c>
      <c r="P348">
        <v>993</v>
      </c>
      <c r="Q348">
        <v>892</v>
      </c>
      <c r="R348">
        <v>746</v>
      </c>
      <c r="S348">
        <f t="shared" si="44"/>
        <v>647</v>
      </c>
      <c r="T348">
        <v>547</v>
      </c>
      <c r="U348">
        <f t="shared" si="45"/>
        <v>385</v>
      </c>
      <c r="V348">
        <v>223</v>
      </c>
      <c r="W348">
        <v>757</v>
      </c>
      <c r="X348">
        <v>671</v>
      </c>
      <c r="Y348">
        <v>554</v>
      </c>
      <c r="Z348">
        <f t="shared" si="46"/>
        <v>478</v>
      </c>
      <c r="AA348">
        <v>401</v>
      </c>
      <c r="AB348">
        <f t="shared" si="47"/>
        <v>281</v>
      </c>
      <c r="AC348">
        <v>161</v>
      </c>
    </row>
    <row r="349" spans="1:29" x14ac:dyDescent="0.25">
      <c r="A349" t="s">
        <v>357</v>
      </c>
      <c r="B349">
        <v>1196</v>
      </c>
      <c r="C349">
        <v>1057</v>
      </c>
      <c r="D349">
        <v>869</v>
      </c>
      <c r="E349">
        <f t="shared" si="40"/>
        <v>743</v>
      </c>
      <c r="F349">
        <v>617</v>
      </c>
      <c r="G349">
        <f t="shared" si="41"/>
        <v>426</v>
      </c>
      <c r="H349">
        <v>235</v>
      </c>
      <c r="I349">
        <v>961</v>
      </c>
      <c r="J349">
        <v>836</v>
      </c>
      <c r="K349">
        <v>675</v>
      </c>
      <c r="L349">
        <f t="shared" si="42"/>
        <v>574</v>
      </c>
      <c r="M349">
        <v>472</v>
      </c>
      <c r="N349">
        <f t="shared" si="43"/>
        <v>324</v>
      </c>
      <c r="O349">
        <v>176</v>
      </c>
      <c r="P349">
        <v>896</v>
      </c>
      <c r="Q349">
        <v>809</v>
      </c>
      <c r="R349">
        <v>680</v>
      </c>
      <c r="S349">
        <f t="shared" si="44"/>
        <v>591</v>
      </c>
      <c r="T349">
        <v>501</v>
      </c>
      <c r="U349">
        <f t="shared" si="45"/>
        <v>353</v>
      </c>
      <c r="V349">
        <v>205</v>
      </c>
      <c r="W349">
        <v>720</v>
      </c>
      <c r="X349">
        <v>640</v>
      </c>
      <c r="Y349">
        <v>529</v>
      </c>
      <c r="Z349">
        <f t="shared" si="46"/>
        <v>456</v>
      </c>
      <c r="AA349">
        <v>383</v>
      </c>
      <c r="AB349">
        <f t="shared" si="47"/>
        <v>269</v>
      </c>
      <c r="AC349">
        <v>154</v>
      </c>
    </row>
    <row r="350" spans="1:29" x14ac:dyDescent="0.25">
      <c r="A350" t="s">
        <v>358</v>
      </c>
      <c r="B350">
        <v>1068</v>
      </c>
      <c r="C350">
        <v>942</v>
      </c>
      <c r="D350">
        <v>779</v>
      </c>
      <c r="E350">
        <f t="shared" si="40"/>
        <v>668</v>
      </c>
      <c r="F350">
        <v>557</v>
      </c>
      <c r="G350">
        <f t="shared" si="41"/>
        <v>384</v>
      </c>
      <c r="H350">
        <v>211</v>
      </c>
      <c r="I350">
        <v>918</v>
      </c>
      <c r="J350">
        <v>794</v>
      </c>
      <c r="K350">
        <v>643</v>
      </c>
      <c r="L350">
        <f t="shared" si="42"/>
        <v>547</v>
      </c>
      <c r="M350">
        <v>450</v>
      </c>
      <c r="N350">
        <f t="shared" si="43"/>
        <v>309</v>
      </c>
      <c r="O350">
        <v>167</v>
      </c>
      <c r="P350">
        <v>801</v>
      </c>
      <c r="Q350">
        <v>721</v>
      </c>
      <c r="R350">
        <v>610</v>
      </c>
      <c r="S350">
        <f t="shared" si="44"/>
        <v>531</v>
      </c>
      <c r="T350">
        <v>452</v>
      </c>
      <c r="U350">
        <f t="shared" si="45"/>
        <v>318</v>
      </c>
      <c r="V350">
        <v>184</v>
      </c>
      <c r="W350">
        <v>688</v>
      </c>
      <c r="X350">
        <v>608</v>
      </c>
      <c r="Y350">
        <v>503</v>
      </c>
      <c r="Z350">
        <f t="shared" si="46"/>
        <v>434</v>
      </c>
      <c r="AA350">
        <v>365</v>
      </c>
      <c r="AB350">
        <f t="shared" si="47"/>
        <v>256</v>
      </c>
      <c r="AC350">
        <v>146</v>
      </c>
    </row>
    <row r="351" spans="1:29" x14ac:dyDescent="0.25">
      <c r="A351" t="s">
        <v>359</v>
      </c>
      <c r="B351">
        <v>918</v>
      </c>
      <c r="C351">
        <v>816</v>
      </c>
      <c r="D351">
        <v>678</v>
      </c>
      <c r="E351">
        <f t="shared" si="40"/>
        <v>582</v>
      </c>
      <c r="F351">
        <v>486</v>
      </c>
      <c r="G351">
        <f t="shared" si="41"/>
        <v>336</v>
      </c>
      <c r="H351">
        <v>185</v>
      </c>
      <c r="I351">
        <v>862</v>
      </c>
      <c r="J351">
        <v>749</v>
      </c>
      <c r="K351">
        <v>607</v>
      </c>
      <c r="L351">
        <f t="shared" si="42"/>
        <v>516</v>
      </c>
      <c r="M351">
        <v>425</v>
      </c>
      <c r="N351">
        <f t="shared" si="43"/>
        <v>292</v>
      </c>
      <c r="O351">
        <v>158</v>
      </c>
      <c r="P351">
        <v>688</v>
      </c>
      <c r="Q351">
        <v>624</v>
      </c>
      <c r="R351">
        <v>531</v>
      </c>
      <c r="S351">
        <f t="shared" si="44"/>
        <v>463</v>
      </c>
      <c r="T351">
        <v>395</v>
      </c>
      <c r="U351">
        <f t="shared" si="45"/>
        <v>278</v>
      </c>
      <c r="V351">
        <v>161</v>
      </c>
      <c r="W351">
        <v>646</v>
      </c>
      <c r="X351">
        <v>573</v>
      </c>
      <c r="Y351">
        <v>476</v>
      </c>
      <c r="Z351">
        <f t="shared" si="46"/>
        <v>411</v>
      </c>
      <c r="AA351">
        <v>345</v>
      </c>
      <c r="AB351">
        <f t="shared" si="47"/>
        <v>242</v>
      </c>
      <c r="AC351">
        <v>138</v>
      </c>
    </row>
    <row r="352" spans="1:29" x14ac:dyDescent="0.25">
      <c r="A352" t="s">
        <v>360</v>
      </c>
      <c r="B352">
        <v>834</v>
      </c>
      <c r="C352">
        <v>741</v>
      </c>
      <c r="D352">
        <v>596</v>
      </c>
      <c r="E352">
        <f t="shared" si="40"/>
        <v>508</v>
      </c>
      <c r="F352">
        <v>419</v>
      </c>
      <c r="G352">
        <f t="shared" si="41"/>
        <v>288</v>
      </c>
      <c r="H352">
        <v>156</v>
      </c>
      <c r="I352">
        <v>834</v>
      </c>
      <c r="J352">
        <v>741</v>
      </c>
      <c r="K352">
        <v>596</v>
      </c>
      <c r="L352">
        <f t="shared" si="42"/>
        <v>508</v>
      </c>
      <c r="M352">
        <v>419</v>
      </c>
      <c r="N352">
        <f t="shared" si="43"/>
        <v>288</v>
      </c>
      <c r="O352">
        <v>156</v>
      </c>
      <c r="P352">
        <v>625</v>
      </c>
      <c r="Q352">
        <v>567</v>
      </c>
      <c r="R352">
        <v>467</v>
      </c>
      <c r="S352">
        <f t="shared" si="44"/>
        <v>404</v>
      </c>
      <c r="T352">
        <v>340</v>
      </c>
      <c r="U352">
        <f t="shared" si="45"/>
        <v>238</v>
      </c>
      <c r="V352">
        <v>136</v>
      </c>
      <c r="W352">
        <v>625</v>
      </c>
      <c r="X352">
        <v>567</v>
      </c>
      <c r="Y352">
        <v>467</v>
      </c>
      <c r="Z352">
        <f t="shared" si="46"/>
        <v>404</v>
      </c>
      <c r="AA352">
        <v>340</v>
      </c>
      <c r="AB352">
        <f t="shared" si="47"/>
        <v>238</v>
      </c>
      <c r="AC352">
        <v>136</v>
      </c>
    </row>
    <row r="353" spans="1:29" x14ac:dyDescent="0.25">
      <c r="A353" t="s">
        <v>361</v>
      </c>
      <c r="B353">
        <v>780</v>
      </c>
      <c r="C353">
        <v>695</v>
      </c>
      <c r="D353">
        <v>564</v>
      </c>
      <c r="E353">
        <f t="shared" si="40"/>
        <v>480</v>
      </c>
      <c r="F353">
        <v>396</v>
      </c>
      <c r="G353">
        <f t="shared" si="41"/>
        <v>271</v>
      </c>
      <c r="H353">
        <v>146</v>
      </c>
      <c r="I353">
        <v>780</v>
      </c>
      <c r="J353">
        <v>695</v>
      </c>
      <c r="K353">
        <v>564</v>
      </c>
      <c r="L353">
        <f t="shared" si="42"/>
        <v>480</v>
      </c>
      <c r="M353">
        <v>396</v>
      </c>
      <c r="N353">
        <f t="shared" si="43"/>
        <v>271</v>
      </c>
      <c r="O353">
        <v>146</v>
      </c>
      <c r="P353">
        <v>585</v>
      </c>
      <c r="Q353">
        <v>532</v>
      </c>
      <c r="R353">
        <v>441</v>
      </c>
      <c r="S353">
        <f t="shared" si="44"/>
        <v>382</v>
      </c>
      <c r="T353">
        <v>322</v>
      </c>
      <c r="U353">
        <f t="shared" si="45"/>
        <v>225</v>
      </c>
      <c r="V353">
        <v>128</v>
      </c>
      <c r="W353">
        <v>585</v>
      </c>
      <c r="X353">
        <v>532</v>
      </c>
      <c r="Y353">
        <v>441</v>
      </c>
      <c r="Z353">
        <f t="shared" si="46"/>
        <v>382</v>
      </c>
      <c r="AA353">
        <v>322</v>
      </c>
      <c r="AB353">
        <f t="shared" si="47"/>
        <v>225</v>
      </c>
      <c r="AC353">
        <v>128</v>
      </c>
    </row>
    <row r="354" spans="1:29" x14ac:dyDescent="0.25">
      <c r="A354" t="s">
        <v>362</v>
      </c>
      <c r="B354">
        <v>1320</v>
      </c>
      <c r="C354">
        <v>1159</v>
      </c>
      <c r="D354">
        <v>946</v>
      </c>
      <c r="E354">
        <f t="shared" si="40"/>
        <v>807</v>
      </c>
      <c r="F354">
        <v>667</v>
      </c>
      <c r="G354">
        <f t="shared" si="41"/>
        <v>460</v>
      </c>
      <c r="H354">
        <v>253</v>
      </c>
      <c r="I354">
        <v>1009</v>
      </c>
      <c r="J354">
        <v>875</v>
      </c>
      <c r="K354">
        <v>705</v>
      </c>
      <c r="L354">
        <f t="shared" si="42"/>
        <v>598</v>
      </c>
      <c r="M354">
        <v>491</v>
      </c>
      <c r="N354">
        <f t="shared" si="43"/>
        <v>338</v>
      </c>
      <c r="O354">
        <v>184</v>
      </c>
      <c r="P354">
        <v>989</v>
      </c>
      <c r="Q354">
        <v>887</v>
      </c>
      <c r="R354">
        <v>740</v>
      </c>
      <c r="S354">
        <f t="shared" si="44"/>
        <v>641</v>
      </c>
      <c r="T354">
        <v>542</v>
      </c>
      <c r="U354">
        <f t="shared" si="45"/>
        <v>381</v>
      </c>
      <c r="V354">
        <v>220</v>
      </c>
      <c r="W354">
        <v>756</v>
      </c>
      <c r="X354">
        <v>670</v>
      </c>
      <c r="Y354">
        <v>551</v>
      </c>
      <c r="Z354">
        <f t="shared" si="46"/>
        <v>475</v>
      </c>
      <c r="AA354">
        <v>399</v>
      </c>
      <c r="AB354">
        <f t="shared" si="47"/>
        <v>280</v>
      </c>
      <c r="AC354">
        <v>160</v>
      </c>
    </row>
    <row r="355" spans="1:29" x14ac:dyDescent="0.25">
      <c r="A355" t="s">
        <v>363</v>
      </c>
      <c r="B355">
        <v>1190</v>
      </c>
      <c r="C355">
        <v>1050</v>
      </c>
      <c r="D355">
        <v>860</v>
      </c>
      <c r="E355">
        <f t="shared" si="40"/>
        <v>735</v>
      </c>
      <c r="F355">
        <v>610</v>
      </c>
      <c r="G355">
        <f t="shared" si="41"/>
        <v>421</v>
      </c>
      <c r="H355">
        <v>231</v>
      </c>
      <c r="I355">
        <v>959</v>
      </c>
      <c r="J355">
        <v>835</v>
      </c>
      <c r="K355">
        <v>673</v>
      </c>
      <c r="L355">
        <f t="shared" si="42"/>
        <v>571</v>
      </c>
      <c r="M355">
        <v>468</v>
      </c>
      <c r="N355">
        <f t="shared" si="43"/>
        <v>322</v>
      </c>
      <c r="O355">
        <v>175</v>
      </c>
      <c r="P355">
        <v>892</v>
      </c>
      <c r="Q355">
        <v>803</v>
      </c>
      <c r="R355">
        <v>673</v>
      </c>
      <c r="S355">
        <f t="shared" si="44"/>
        <v>585</v>
      </c>
      <c r="T355">
        <v>496</v>
      </c>
      <c r="U355">
        <f t="shared" si="45"/>
        <v>349</v>
      </c>
      <c r="V355">
        <v>202</v>
      </c>
      <c r="W355">
        <v>719</v>
      </c>
      <c r="X355">
        <v>638</v>
      </c>
      <c r="Y355">
        <v>526</v>
      </c>
      <c r="Z355">
        <f t="shared" si="46"/>
        <v>454</v>
      </c>
      <c r="AA355">
        <v>381</v>
      </c>
      <c r="AB355">
        <f t="shared" si="47"/>
        <v>267</v>
      </c>
      <c r="AC355">
        <v>153</v>
      </c>
    </row>
    <row r="356" spans="1:29" x14ac:dyDescent="0.25">
      <c r="A356" t="s">
        <v>364</v>
      </c>
      <c r="B356">
        <v>1062</v>
      </c>
      <c r="C356">
        <v>936</v>
      </c>
      <c r="D356">
        <v>773</v>
      </c>
      <c r="E356">
        <f t="shared" si="40"/>
        <v>662</v>
      </c>
      <c r="F356">
        <v>550</v>
      </c>
      <c r="G356">
        <f t="shared" si="41"/>
        <v>380</v>
      </c>
      <c r="H356">
        <v>209</v>
      </c>
      <c r="I356">
        <v>915</v>
      </c>
      <c r="J356">
        <v>792</v>
      </c>
      <c r="K356">
        <v>642</v>
      </c>
      <c r="L356">
        <f t="shared" si="42"/>
        <v>545</v>
      </c>
      <c r="M356">
        <v>447</v>
      </c>
      <c r="N356">
        <f t="shared" si="43"/>
        <v>307</v>
      </c>
      <c r="O356">
        <v>167</v>
      </c>
      <c r="P356">
        <v>796</v>
      </c>
      <c r="Q356">
        <v>716</v>
      </c>
      <c r="R356">
        <v>605</v>
      </c>
      <c r="S356">
        <f t="shared" si="44"/>
        <v>526</v>
      </c>
      <c r="T356">
        <v>447</v>
      </c>
      <c r="U356">
        <f t="shared" si="45"/>
        <v>315</v>
      </c>
      <c r="V356">
        <v>182</v>
      </c>
      <c r="W356">
        <v>686</v>
      </c>
      <c r="X356">
        <v>606</v>
      </c>
      <c r="Y356">
        <v>502</v>
      </c>
      <c r="Z356">
        <f t="shared" si="46"/>
        <v>433</v>
      </c>
      <c r="AA356">
        <v>364</v>
      </c>
      <c r="AB356">
        <f t="shared" si="47"/>
        <v>255</v>
      </c>
      <c r="AC356">
        <v>145</v>
      </c>
    </row>
    <row r="357" spans="1:29" x14ac:dyDescent="0.25">
      <c r="A357" t="s">
        <v>365</v>
      </c>
      <c r="B357">
        <v>915</v>
      </c>
      <c r="C357">
        <v>811</v>
      </c>
      <c r="D357">
        <v>674</v>
      </c>
      <c r="E357">
        <f t="shared" si="40"/>
        <v>579</v>
      </c>
      <c r="F357">
        <v>483</v>
      </c>
      <c r="G357">
        <f t="shared" si="41"/>
        <v>334</v>
      </c>
      <c r="H357">
        <v>185</v>
      </c>
      <c r="I357">
        <v>861</v>
      </c>
      <c r="J357">
        <v>747</v>
      </c>
      <c r="K357">
        <v>606</v>
      </c>
      <c r="L357">
        <f t="shared" si="42"/>
        <v>515</v>
      </c>
      <c r="M357">
        <v>424</v>
      </c>
      <c r="N357">
        <f t="shared" si="43"/>
        <v>291</v>
      </c>
      <c r="O357">
        <v>158</v>
      </c>
      <c r="P357">
        <v>686</v>
      </c>
      <c r="Q357">
        <v>621</v>
      </c>
      <c r="R357">
        <v>528</v>
      </c>
      <c r="S357">
        <f t="shared" si="44"/>
        <v>460</v>
      </c>
      <c r="T357">
        <v>392</v>
      </c>
      <c r="U357">
        <f t="shared" si="45"/>
        <v>277</v>
      </c>
      <c r="V357">
        <v>161</v>
      </c>
      <c r="W357">
        <v>645</v>
      </c>
      <c r="X357">
        <v>572</v>
      </c>
      <c r="Y357">
        <v>475</v>
      </c>
      <c r="Z357">
        <f t="shared" si="46"/>
        <v>410</v>
      </c>
      <c r="AA357">
        <v>344</v>
      </c>
      <c r="AB357">
        <f t="shared" si="47"/>
        <v>241</v>
      </c>
      <c r="AC357">
        <v>138</v>
      </c>
    </row>
    <row r="358" spans="1:29" x14ac:dyDescent="0.25">
      <c r="A358" t="s">
        <v>366</v>
      </c>
      <c r="B358">
        <v>828</v>
      </c>
      <c r="C358">
        <v>734</v>
      </c>
      <c r="D358">
        <v>591</v>
      </c>
      <c r="E358">
        <f t="shared" si="40"/>
        <v>503</v>
      </c>
      <c r="F358">
        <v>415</v>
      </c>
      <c r="G358">
        <f t="shared" si="41"/>
        <v>284</v>
      </c>
      <c r="H358">
        <v>153</v>
      </c>
      <c r="I358">
        <v>828</v>
      </c>
      <c r="J358">
        <v>734</v>
      </c>
      <c r="K358">
        <v>591</v>
      </c>
      <c r="L358">
        <f t="shared" si="42"/>
        <v>503</v>
      </c>
      <c r="M358">
        <v>415</v>
      </c>
      <c r="N358">
        <f t="shared" si="43"/>
        <v>284</v>
      </c>
      <c r="O358">
        <v>153</v>
      </c>
      <c r="P358">
        <v>621</v>
      </c>
      <c r="Q358">
        <v>561</v>
      </c>
      <c r="R358">
        <v>463</v>
      </c>
      <c r="S358">
        <f t="shared" si="44"/>
        <v>400</v>
      </c>
      <c r="T358">
        <v>337</v>
      </c>
      <c r="U358">
        <f t="shared" si="45"/>
        <v>235</v>
      </c>
      <c r="V358">
        <v>133</v>
      </c>
      <c r="W358">
        <v>621</v>
      </c>
      <c r="X358">
        <v>561</v>
      </c>
      <c r="Y358">
        <v>463</v>
      </c>
      <c r="Z358">
        <f t="shared" si="46"/>
        <v>400</v>
      </c>
      <c r="AA358">
        <v>337</v>
      </c>
      <c r="AB358">
        <f t="shared" si="47"/>
        <v>235</v>
      </c>
      <c r="AC358">
        <v>133</v>
      </c>
    </row>
    <row r="359" spans="1:29" x14ac:dyDescent="0.25">
      <c r="A359" t="s">
        <v>367</v>
      </c>
      <c r="B359">
        <v>775</v>
      </c>
      <c r="C359">
        <v>690</v>
      </c>
      <c r="D359">
        <v>559</v>
      </c>
      <c r="E359">
        <f t="shared" si="40"/>
        <v>477</v>
      </c>
      <c r="F359">
        <v>394</v>
      </c>
      <c r="G359">
        <f t="shared" si="41"/>
        <v>270</v>
      </c>
      <c r="H359">
        <v>146</v>
      </c>
      <c r="I359">
        <v>775</v>
      </c>
      <c r="J359">
        <v>690</v>
      </c>
      <c r="K359">
        <v>559</v>
      </c>
      <c r="L359">
        <f t="shared" si="42"/>
        <v>477</v>
      </c>
      <c r="M359">
        <v>394</v>
      </c>
      <c r="N359">
        <f t="shared" si="43"/>
        <v>270</v>
      </c>
      <c r="O359">
        <v>146</v>
      </c>
      <c r="P359">
        <v>581</v>
      </c>
      <c r="Q359">
        <v>528</v>
      </c>
      <c r="R359">
        <v>437</v>
      </c>
      <c r="S359">
        <f t="shared" si="44"/>
        <v>379</v>
      </c>
      <c r="T359">
        <v>320</v>
      </c>
      <c r="U359">
        <f t="shared" si="45"/>
        <v>224</v>
      </c>
      <c r="V359">
        <v>128</v>
      </c>
      <c r="W359">
        <v>581</v>
      </c>
      <c r="X359">
        <v>528</v>
      </c>
      <c r="Y359">
        <v>437</v>
      </c>
      <c r="Z359">
        <f t="shared" si="46"/>
        <v>379</v>
      </c>
      <c r="AA359">
        <v>320</v>
      </c>
      <c r="AB359">
        <f t="shared" si="47"/>
        <v>224</v>
      </c>
      <c r="AC359">
        <v>128</v>
      </c>
    </row>
    <row r="360" spans="1:29" x14ac:dyDescent="0.25">
      <c r="A360" t="s">
        <v>368</v>
      </c>
      <c r="B360">
        <v>718</v>
      </c>
      <c r="C360">
        <v>641</v>
      </c>
      <c r="D360">
        <v>528</v>
      </c>
      <c r="E360">
        <f t="shared" si="40"/>
        <v>451</v>
      </c>
      <c r="F360">
        <v>374</v>
      </c>
      <c r="G360">
        <f t="shared" si="41"/>
        <v>255</v>
      </c>
      <c r="H360">
        <v>136</v>
      </c>
      <c r="I360">
        <v>718</v>
      </c>
      <c r="J360">
        <v>641</v>
      </c>
      <c r="K360">
        <v>528</v>
      </c>
      <c r="L360">
        <f t="shared" si="42"/>
        <v>451</v>
      </c>
      <c r="M360">
        <v>374</v>
      </c>
      <c r="N360">
        <f t="shared" si="43"/>
        <v>255</v>
      </c>
      <c r="O360">
        <v>136</v>
      </c>
      <c r="P360">
        <v>538</v>
      </c>
      <c r="Q360">
        <v>491</v>
      </c>
      <c r="R360">
        <v>413</v>
      </c>
      <c r="S360">
        <f t="shared" si="44"/>
        <v>359</v>
      </c>
      <c r="T360">
        <v>304</v>
      </c>
      <c r="U360">
        <f t="shared" si="45"/>
        <v>211</v>
      </c>
      <c r="V360">
        <v>118</v>
      </c>
      <c r="W360">
        <v>538</v>
      </c>
      <c r="X360">
        <v>491</v>
      </c>
      <c r="Y360">
        <v>413</v>
      </c>
      <c r="Z360">
        <f t="shared" si="46"/>
        <v>359</v>
      </c>
      <c r="AA360">
        <v>304</v>
      </c>
      <c r="AB360">
        <f t="shared" si="47"/>
        <v>211</v>
      </c>
      <c r="AC360">
        <v>118</v>
      </c>
    </row>
    <row r="361" spans="1:29" x14ac:dyDescent="0.25">
      <c r="A361" t="s">
        <v>369</v>
      </c>
      <c r="B361">
        <v>1183</v>
      </c>
      <c r="C361">
        <v>1043</v>
      </c>
      <c r="D361">
        <v>853</v>
      </c>
      <c r="E361">
        <f t="shared" si="40"/>
        <v>728</v>
      </c>
      <c r="F361">
        <v>603</v>
      </c>
      <c r="G361">
        <f t="shared" si="41"/>
        <v>416</v>
      </c>
      <c r="H361">
        <v>228</v>
      </c>
      <c r="I361">
        <v>956</v>
      </c>
      <c r="J361">
        <v>831</v>
      </c>
      <c r="K361">
        <v>670</v>
      </c>
      <c r="L361">
        <f t="shared" si="42"/>
        <v>568</v>
      </c>
      <c r="M361">
        <v>466</v>
      </c>
      <c r="N361">
        <f t="shared" si="43"/>
        <v>320</v>
      </c>
      <c r="O361">
        <v>174</v>
      </c>
      <c r="P361">
        <v>887</v>
      </c>
      <c r="Q361">
        <v>798</v>
      </c>
      <c r="R361">
        <v>668</v>
      </c>
      <c r="S361">
        <f t="shared" si="44"/>
        <v>579</v>
      </c>
      <c r="T361">
        <v>490</v>
      </c>
      <c r="U361">
        <f t="shared" si="45"/>
        <v>345</v>
      </c>
      <c r="V361">
        <v>199</v>
      </c>
      <c r="W361">
        <v>717</v>
      </c>
      <c r="X361">
        <v>636</v>
      </c>
      <c r="Y361">
        <v>525</v>
      </c>
      <c r="Z361">
        <f t="shared" si="46"/>
        <v>452</v>
      </c>
      <c r="AA361">
        <v>379</v>
      </c>
      <c r="AB361">
        <f t="shared" si="47"/>
        <v>266</v>
      </c>
      <c r="AC361">
        <v>152</v>
      </c>
    </row>
    <row r="362" spans="1:29" x14ac:dyDescent="0.25">
      <c r="A362" t="s">
        <v>370</v>
      </c>
      <c r="B362">
        <v>1055</v>
      </c>
      <c r="C362">
        <v>927</v>
      </c>
      <c r="D362">
        <v>764</v>
      </c>
      <c r="E362">
        <f t="shared" si="40"/>
        <v>654</v>
      </c>
      <c r="F362">
        <v>544</v>
      </c>
      <c r="G362">
        <f t="shared" si="41"/>
        <v>375</v>
      </c>
      <c r="H362">
        <v>206</v>
      </c>
      <c r="I362">
        <v>912</v>
      </c>
      <c r="J362">
        <v>788</v>
      </c>
      <c r="K362">
        <v>637</v>
      </c>
      <c r="L362">
        <f t="shared" si="42"/>
        <v>541</v>
      </c>
      <c r="M362">
        <v>445</v>
      </c>
      <c r="N362">
        <f t="shared" si="43"/>
        <v>305</v>
      </c>
      <c r="O362">
        <v>165</v>
      </c>
      <c r="P362">
        <v>791</v>
      </c>
      <c r="Q362">
        <v>710</v>
      </c>
      <c r="R362">
        <v>598</v>
      </c>
      <c r="S362">
        <f t="shared" si="44"/>
        <v>520</v>
      </c>
      <c r="T362">
        <v>442</v>
      </c>
      <c r="U362">
        <f t="shared" si="45"/>
        <v>311</v>
      </c>
      <c r="V362">
        <v>179</v>
      </c>
      <c r="W362">
        <v>684</v>
      </c>
      <c r="X362">
        <v>604</v>
      </c>
      <c r="Y362">
        <v>499</v>
      </c>
      <c r="Z362">
        <f t="shared" si="46"/>
        <v>431</v>
      </c>
      <c r="AA362">
        <v>362</v>
      </c>
      <c r="AB362">
        <f t="shared" si="47"/>
        <v>253</v>
      </c>
      <c r="AC362">
        <v>143</v>
      </c>
    </row>
    <row r="363" spans="1:29" x14ac:dyDescent="0.25">
      <c r="A363" t="s">
        <v>371</v>
      </c>
      <c r="B363">
        <v>909</v>
      </c>
      <c r="C363">
        <v>807</v>
      </c>
      <c r="D363">
        <v>670</v>
      </c>
      <c r="E363">
        <f t="shared" si="40"/>
        <v>575</v>
      </c>
      <c r="F363">
        <v>479</v>
      </c>
      <c r="G363">
        <f t="shared" si="41"/>
        <v>330</v>
      </c>
      <c r="H363">
        <v>181</v>
      </c>
      <c r="I363">
        <v>859</v>
      </c>
      <c r="J363">
        <v>745</v>
      </c>
      <c r="K363">
        <v>605</v>
      </c>
      <c r="L363">
        <f t="shared" si="42"/>
        <v>514</v>
      </c>
      <c r="M363">
        <v>423</v>
      </c>
      <c r="N363">
        <f t="shared" si="43"/>
        <v>289</v>
      </c>
      <c r="O363">
        <v>155</v>
      </c>
      <c r="P363">
        <v>682</v>
      </c>
      <c r="Q363">
        <v>617</v>
      </c>
      <c r="R363">
        <v>524</v>
      </c>
      <c r="S363">
        <f t="shared" si="44"/>
        <v>457</v>
      </c>
      <c r="T363">
        <v>389</v>
      </c>
      <c r="U363">
        <f t="shared" si="45"/>
        <v>274</v>
      </c>
      <c r="V363">
        <v>158</v>
      </c>
      <c r="W363">
        <v>645</v>
      </c>
      <c r="X363">
        <v>570</v>
      </c>
      <c r="Y363">
        <v>474</v>
      </c>
      <c r="Z363">
        <f t="shared" si="46"/>
        <v>409</v>
      </c>
      <c r="AA363">
        <v>343</v>
      </c>
      <c r="AB363">
        <f t="shared" si="47"/>
        <v>240</v>
      </c>
      <c r="AC363">
        <v>136</v>
      </c>
    </row>
    <row r="364" spans="1:29" x14ac:dyDescent="0.25">
      <c r="A364" t="s">
        <v>372</v>
      </c>
      <c r="B364">
        <v>821</v>
      </c>
      <c r="C364">
        <v>728</v>
      </c>
      <c r="D364">
        <v>586</v>
      </c>
      <c r="E364">
        <f t="shared" si="40"/>
        <v>498</v>
      </c>
      <c r="F364">
        <v>410</v>
      </c>
      <c r="G364">
        <f t="shared" si="41"/>
        <v>281</v>
      </c>
      <c r="H364">
        <v>151</v>
      </c>
      <c r="I364">
        <v>821</v>
      </c>
      <c r="J364">
        <v>728</v>
      </c>
      <c r="K364">
        <v>586</v>
      </c>
      <c r="L364">
        <f t="shared" si="42"/>
        <v>498</v>
      </c>
      <c r="M364">
        <v>410</v>
      </c>
      <c r="N364">
        <f t="shared" si="43"/>
        <v>281</v>
      </c>
      <c r="O364">
        <v>151</v>
      </c>
      <c r="P364">
        <v>616</v>
      </c>
      <c r="Q364">
        <v>557</v>
      </c>
      <c r="R364">
        <v>458</v>
      </c>
      <c r="S364">
        <f t="shared" si="44"/>
        <v>396</v>
      </c>
      <c r="T364">
        <v>333</v>
      </c>
      <c r="U364">
        <f t="shared" si="45"/>
        <v>233</v>
      </c>
      <c r="V364">
        <v>132</v>
      </c>
      <c r="W364">
        <v>616</v>
      </c>
      <c r="X364">
        <v>557</v>
      </c>
      <c r="Y364">
        <v>458</v>
      </c>
      <c r="Z364">
        <f t="shared" si="46"/>
        <v>396</v>
      </c>
      <c r="AA364">
        <v>333</v>
      </c>
      <c r="AB364">
        <f t="shared" si="47"/>
        <v>233</v>
      </c>
      <c r="AC364">
        <v>132</v>
      </c>
    </row>
    <row r="365" spans="1:29" x14ac:dyDescent="0.25">
      <c r="A365" t="s">
        <v>373</v>
      </c>
      <c r="B365">
        <v>768</v>
      </c>
      <c r="C365">
        <v>682</v>
      </c>
      <c r="D365">
        <v>554</v>
      </c>
      <c r="E365">
        <f t="shared" si="40"/>
        <v>472</v>
      </c>
      <c r="F365">
        <v>389</v>
      </c>
      <c r="G365">
        <f t="shared" si="41"/>
        <v>266</v>
      </c>
      <c r="H365">
        <v>143</v>
      </c>
      <c r="I365">
        <v>768</v>
      </c>
      <c r="J365">
        <v>682</v>
      </c>
      <c r="K365">
        <v>554</v>
      </c>
      <c r="L365">
        <f t="shared" si="42"/>
        <v>472</v>
      </c>
      <c r="M365">
        <v>389</v>
      </c>
      <c r="N365">
        <f t="shared" si="43"/>
        <v>266</v>
      </c>
      <c r="O365">
        <v>143</v>
      </c>
      <c r="P365">
        <v>575</v>
      </c>
      <c r="Q365">
        <v>522</v>
      </c>
      <c r="R365">
        <v>434</v>
      </c>
      <c r="S365">
        <f t="shared" si="44"/>
        <v>375</v>
      </c>
      <c r="T365">
        <v>316</v>
      </c>
      <c r="U365">
        <f t="shared" si="45"/>
        <v>221</v>
      </c>
      <c r="V365">
        <v>125</v>
      </c>
      <c r="W365">
        <v>575</v>
      </c>
      <c r="X365">
        <v>522</v>
      </c>
      <c r="Y365">
        <v>434</v>
      </c>
      <c r="Z365">
        <f t="shared" si="46"/>
        <v>375</v>
      </c>
      <c r="AA365">
        <v>316</v>
      </c>
      <c r="AB365">
        <f t="shared" si="47"/>
        <v>221</v>
      </c>
      <c r="AC365">
        <v>125</v>
      </c>
    </row>
    <row r="366" spans="1:29" x14ac:dyDescent="0.25">
      <c r="A366" t="s">
        <v>374</v>
      </c>
      <c r="B366">
        <v>713</v>
      </c>
      <c r="C366">
        <v>637</v>
      </c>
      <c r="D366">
        <v>525</v>
      </c>
      <c r="E366">
        <f t="shared" si="40"/>
        <v>446</v>
      </c>
      <c r="F366">
        <v>367</v>
      </c>
      <c r="G366">
        <f t="shared" si="41"/>
        <v>252</v>
      </c>
      <c r="H366">
        <v>136</v>
      </c>
      <c r="I366">
        <v>713</v>
      </c>
      <c r="J366">
        <v>637</v>
      </c>
      <c r="K366">
        <v>525</v>
      </c>
      <c r="L366">
        <f t="shared" si="42"/>
        <v>446</v>
      </c>
      <c r="M366">
        <v>367</v>
      </c>
      <c r="N366">
        <f t="shared" si="43"/>
        <v>252</v>
      </c>
      <c r="O366">
        <v>136</v>
      </c>
      <c r="P366">
        <v>535</v>
      </c>
      <c r="Q366">
        <v>487</v>
      </c>
      <c r="R366">
        <v>411</v>
      </c>
      <c r="S366">
        <f t="shared" si="44"/>
        <v>355</v>
      </c>
      <c r="T366">
        <v>298</v>
      </c>
      <c r="U366">
        <f t="shared" si="45"/>
        <v>208</v>
      </c>
      <c r="V366">
        <v>118</v>
      </c>
      <c r="W366">
        <v>535</v>
      </c>
      <c r="X366">
        <v>487</v>
      </c>
      <c r="Y366">
        <v>411</v>
      </c>
      <c r="Z366">
        <f t="shared" si="46"/>
        <v>355</v>
      </c>
      <c r="AA366">
        <v>298</v>
      </c>
      <c r="AB366">
        <f t="shared" si="47"/>
        <v>208</v>
      </c>
      <c r="AC366">
        <v>118</v>
      </c>
    </row>
    <row r="367" spans="1:29" x14ac:dyDescent="0.25">
      <c r="A367" t="s">
        <v>375</v>
      </c>
      <c r="B367">
        <v>654</v>
      </c>
      <c r="C367">
        <v>587</v>
      </c>
      <c r="D367">
        <v>485</v>
      </c>
      <c r="E367">
        <f t="shared" si="40"/>
        <v>414</v>
      </c>
      <c r="F367">
        <v>343</v>
      </c>
      <c r="G367">
        <f t="shared" si="41"/>
        <v>234</v>
      </c>
      <c r="H367">
        <v>124</v>
      </c>
      <c r="I367">
        <v>654</v>
      </c>
      <c r="J367">
        <v>587</v>
      </c>
      <c r="K367">
        <v>485</v>
      </c>
      <c r="L367">
        <f t="shared" si="42"/>
        <v>414</v>
      </c>
      <c r="M367">
        <v>343</v>
      </c>
      <c r="N367">
        <f t="shared" si="43"/>
        <v>234</v>
      </c>
      <c r="O367">
        <v>124</v>
      </c>
      <c r="P367">
        <v>490</v>
      </c>
      <c r="Q367">
        <v>449</v>
      </c>
      <c r="R367">
        <v>379</v>
      </c>
      <c r="S367">
        <f t="shared" si="44"/>
        <v>329</v>
      </c>
      <c r="T367">
        <v>279</v>
      </c>
      <c r="U367">
        <f t="shared" si="45"/>
        <v>194</v>
      </c>
      <c r="V367">
        <v>108</v>
      </c>
      <c r="W367">
        <v>490</v>
      </c>
      <c r="X367">
        <v>449</v>
      </c>
      <c r="Y367">
        <v>379</v>
      </c>
      <c r="Z367">
        <f t="shared" si="46"/>
        <v>329</v>
      </c>
      <c r="AA367">
        <v>279</v>
      </c>
      <c r="AB367">
        <f t="shared" si="47"/>
        <v>194</v>
      </c>
      <c r="AC367">
        <v>108</v>
      </c>
    </row>
    <row r="368" spans="1:29" x14ac:dyDescent="0.25">
      <c r="A368" t="s">
        <v>376</v>
      </c>
      <c r="B368">
        <v>1046</v>
      </c>
      <c r="C368">
        <v>918</v>
      </c>
      <c r="D368">
        <v>754</v>
      </c>
      <c r="E368">
        <f t="shared" si="40"/>
        <v>645</v>
      </c>
      <c r="F368">
        <v>535</v>
      </c>
      <c r="G368">
        <f t="shared" si="41"/>
        <v>368</v>
      </c>
      <c r="H368">
        <v>201</v>
      </c>
      <c r="I368">
        <v>909</v>
      </c>
      <c r="J368">
        <v>785</v>
      </c>
      <c r="K368">
        <v>635</v>
      </c>
      <c r="L368">
        <f t="shared" si="42"/>
        <v>539</v>
      </c>
      <c r="M368">
        <v>442</v>
      </c>
      <c r="N368">
        <f t="shared" si="43"/>
        <v>303</v>
      </c>
      <c r="O368">
        <v>163</v>
      </c>
      <c r="P368">
        <v>784</v>
      </c>
      <c r="Q368">
        <v>703</v>
      </c>
      <c r="R368">
        <v>591</v>
      </c>
      <c r="S368">
        <f t="shared" si="44"/>
        <v>513</v>
      </c>
      <c r="T368">
        <v>435</v>
      </c>
      <c r="U368">
        <f t="shared" si="45"/>
        <v>305</v>
      </c>
      <c r="V368">
        <v>175</v>
      </c>
      <c r="W368">
        <v>682</v>
      </c>
      <c r="X368">
        <v>601</v>
      </c>
      <c r="Y368">
        <v>498</v>
      </c>
      <c r="Z368">
        <f t="shared" si="46"/>
        <v>429</v>
      </c>
      <c r="AA368">
        <v>360</v>
      </c>
      <c r="AB368">
        <f t="shared" si="47"/>
        <v>251</v>
      </c>
      <c r="AC368">
        <v>142</v>
      </c>
    </row>
    <row r="369" spans="1:29" x14ac:dyDescent="0.25">
      <c r="A369" t="s">
        <v>377</v>
      </c>
      <c r="B369">
        <v>902</v>
      </c>
      <c r="C369">
        <v>797</v>
      </c>
      <c r="D369">
        <v>661</v>
      </c>
      <c r="E369">
        <f t="shared" si="40"/>
        <v>567</v>
      </c>
      <c r="F369">
        <v>473</v>
      </c>
      <c r="G369">
        <f t="shared" si="41"/>
        <v>326</v>
      </c>
      <c r="H369">
        <v>178</v>
      </c>
      <c r="I369">
        <v>856</v>
      </c>
      <c r="J369">
        <v>742</v>
      </c>
      <c r="K369">
        <v>603</v>
      </c>
      <c r="L369">
        <f t="shared" si="42"/>
        <v>513</v>
      </c>
      <c r="M369">
        <v>422</v>
      </c>
      <c r="N369">
        <f t="shared" si="43"/>
        <v>289</v>
      </c>
      <c r="O369">
        <v>155</v>
      </c>
      <c r="P369">
        <v>676</v>
      </c>
      <c r="Q369">
        <v>610</v>
      </c>
      <c r="R369">
        <v>517</v>
      </c>
      <c r="S369">
        <f t="shared" si="44"/>
        <v>451</v>
      </c>
      <c r="T369">
        <v>384</v>
      </c>
      <c r="U369">
        <f t="shared" si="45"/>
        <v>270</v>
      </c>
      <c r="V369">
        <v>155</v>
      </c>
      <c r="W369">
        <v>642</v>
      </c>
      <c r="X369">
        <v>568</v>
      </c>
      <c r="Y369">
        <v>471</v>
      </c>
      <c r="Z369">
        <f t="shared" si="46"/>
        <v>407</v>
      </c>
      <c r="AA369">
        <v>342</v>
      </c>
      <c r="AB369">
        <f t="shared" si="47"/>
        <v>239</v>
      </c>
      <c r="AC369">
        <v>135</v>
      </c>
    </row>
    <row r="370" spans="1:29" x14ac:dyDescent="0.25">
      <c r="A370" t="s">
        <v>378</v>
      </c>
      <c r="B370">
        <v>814</v>
      </c>
      <c r="C370">
        <v>721</v>
      </c>
      <c r="D370">
        <v>581</v>
      </c>
      <c r="E370">
        <f t="shared" si="40"/>
        <v>494</v>
      </c>
      <c r="F370">
        <v>406</v>
      </c>
      <c r="G370">
        <f t="shared" si="41"/>
        <v>278</v>
      </c>
      <c r="H370">
        <v>150</v>
      </c>
      <c r="I370">
        <v>814</v>
      </c>
      <c r="J370">
        <v>721</v>
      </c>
      <c r="K370">
        <v>581</v>
      </c>
      <c r="L370">
        <f t="shared" si="42"/>
        <v>494</v>
      </c>
      <c r="M370">
        <v>406</v>
      </c>
      <c r="N370">
        <f t="shared" si="43"/>
        <v>278</v>
      </c>
      <c r="O370">
        <v>150</v>
      </c>
      <c r="P370">
        <v>610</v>
      </c>
      <c r="Q370">
        <v>552</v>
      </c>
      <c r="R370">
        <v>455</v>
      </c>
      <c r="S370">
        <f t="shared" si="44"/>
        <v>393</v>
      </c>
      <c r="T370">
        <v>330</v>
      </c>
      <c r="U370">
        <f t="shared" si="45"/>
        <v>230</v>
      </c>
      <c r="V370">
        <v>130</v>
      </c>
      <c r="W370">
        <v>610</v>
      </c>
      <c r="X370">
        <v>552</v>
      </c>
      <c r="Y370">
        <v>455</v>
      </c>
      <c r="Z370">
        <f t="shared" si="46"/>
        <v>393</v>
      </c>
      <c r="AA370">
        <v>330</v>
      </c>
      <c r="AB370">
        <f t="shared" si="47"/>
        <v>230</v>
      </c>
      <c r="AC370">
        <v>130</v>
      </c>
    </row>
    <row r="371" spans="1:29" x14ac:dyDescent="0.25">
      <c r="A371" t="s">
        <v>379</v>
      </c>
      <c r="B371">
        <v>761</v>
      </c>
      <c r="C371">
        <v>677</v>
      </c>
      <c r="D371">
        <v>548</v>
      </c>
      <c r="E371">
        <f t="shared" si="40"/>
        <v>467</v>
      </c>
      <c r="F371">
        <v>385</v>
      </c>
      <c r="G371">
        <f t="shared" si="41"/>
        <v>263</v>
      </c>
      <c r="H371">
        <v>141</v>
      </c>
      <c r="I371">
        <v>761</v>
      </c>
      <c r="J371">
        <v>677</v>
      </c>
      <c r="K371">
        <v>548</v>
      </c>
      <c r="L371">
        <f t="shared" si="42"/>
        <v>467</v>
      </c>
      <c r="M371">
        <v>385</v>
      </c>
      <c r="N371">
        <f t="shared" si="43"/>
        <v>263</v>
      </c>
      <c r="O371">
        <v>141</v>
      </c>
      <c r="P371">
        <v>570</v>
      </c>
      <c r="Q371">
        <v>518</v>
      </c>
      <c r="R371">
        <v>429</v>
      </c>
      <c r="S371">
        <f t="shared" si="44"/>
        <v>371</v>
      </c>
      <c r="T371">
        <v>313</v>
      </c>
      <c r="U371">
        <f t="shared" si="45"/>
        <v>218</v>
      </c>
      <c r="V371">
        <v>123</v>
      </c>
      <c r="W371">
        <v>570</v>
      </c>
      <c r="X371">
        <v>518</v>
      </c>
      <c r="Y371">
        <v>429</v>
      </c>
      <c r="Z371">
        <f t="shared" si="46"/>
        <v>371</v>
      </c>
      <c r="AA371">
        <v>313</v>
      </c>
      <c r="AB371">
        <f t="shared" si="47"/>
        <v>218</v>
      </c>
      <c r="AC371">
        <v>123</v>
      </c>
    </row>
    <row r="372" spans="1:29" x14ac:dyDescent="0.25">
      <c r="A372" t="s">
        <v>380</v>
      </c>
      <c r="B372">
        <v>706</v>
      </c>
      <c r="C372">
        <v>630</v>
      </c>
      <c r="D372">
        <v>518</v>
      </c>
      <c r="E372">
        <f t="shared" si="40"/>
        <v>441</v>
      </c>
      <c r="F372">
        <v>364</v>
      </c>
      <c r="G372">
        <f t="shared" si="41"/>
        <v>250</v>
      </c>
      <c r="H372">
        <v>135</v>
      </c>
      <c r="I372">
        <v>706</v>
      </c>
      <c r="J372">
        <v>630</v>
      </c>
      <c r="K372">
        <v>518</v>
      </c>
      <c r="L372">
        <f t="shared" si="42"/>
        <v>441</v>
      </c>
      <c r="M372">
        <v>364</v>
      </c>
      <c r="N372">
        <f t="shared" si="43"/>
        <v>250</v>
      </c>
      <c r="O372">
        <v>135</v>
      </c>
      <c r="P372">
        <v>529</v>
      </c>
      <c r="Q372">
        <v>482</v>
      </c>
      <c r="R372">
        <v>406</v>
      </c>
      <c r="S372">
        <f t="shared" si="44"/>
        <v>351</v>
      </c>
      <c r="T372">
        <v>295</v>
      </c>
      <c r="U372">
        <f t="shared" si="45"/>
        <v>206</v>
      </c>
      <c r="V372">
        <v>117</v>
      </c>
      <c r="W372">
        <v>529</v>
      </c>
      <c r="X372">
        <v>482</v>
      </c>
      <c r="Y372">
        <v>406</v>
      </c>
      <c r="Z372">
        <f t="shared" si="46"/>
        <v>351</v>
      </c>
      <c r="AA372">
        <v>295</v>
      </c>
      <c r="AB372">
        <f t="shared" si="47"/>
        <v>206</v>
      </c>
      <c r="AC372">
        <v>117</v>
      </c>
    </row>
    <row r="373" spans="1:29" x14ac:dyDescent="0.25">
      <c r="A373" t="s">
        <v>381</v>
      </c>
      <c r="B373">
        <v>650</v>
      </c>
      <c r="C373">
        <v>582</v>
      </c>
      <c r="D373">
        <v>482</v>
      </c>
      <c r="E373">
        <f t="shared" si="40"/>
        <v>413</v>
      </c>
      <c r="F373">
        <v>343</v>
      </c>
      <c r="G373">
        <f t="shared" si="41"/>
        <v>234</v>
      </c>
      <c r="H373">
        <v>125</v>
      </c>
      <c r="I373">
        <v>650</v>
      </c>
      <c r="J373">
        <v>582</v>
      </c>
      <c r="K373">
        <v>482</v>
      </c>
      <c r="L373">
        <f t="shared" si="42"/>
        <v>413</v>
      </c>
      <c r="M373">
        <v>343</v>
      </c>
      <c r="N373">
        <f t="shared" si="43"/>
        <v>234</v>
      </c>
      <c r="O373">
        <v>125</v>
      </c>
      <c r="P373">
        <v>487</v>
      </c>
      <c r="Q373">
        <v>446</v>
      </c>
      <c r="R373">
        <v>377</v>
      </c>
      <c r="S373">
        <f t="shared" si="44"/>
        <v>328</v>
      </c>
      <c r="T373">
        <v>279</v>
      </c>
      <c r="U373">
        <f t="shared" si="45"/>
        <v>194</v>
      </c>
      <c r="V373">
        <v>109</v>
      </c>
      <c r="W373">
        <v>487</v>
      </c>
      <c r="X373">
        <v>446</v>
      </c>
      <c r="Y373">
        <v>377</v>
      </c>
      <c r="Z373">
        <f t="shared" si="46"/>
        <v>328</v>
      </c>
      <c r="AA373">
        <v>279</v>
      </c>
      <c r="AB373">
        <f t="shared" si="47"/>
        <v>194</v>
      </c>
      <c r="AC373">
        <v>109</v>
      </c>
    </row>
    <row r="374" spans="1:29" x14ac:dyDescent="0.25">
      <c r="A374" t="s">
        <v>382</v>
      </c>
      <c r="B374">
        <v>588</v>
      </c>
      <c r="C374">
        <v>530</v>
      </c>
      <c r="D374">
        <v>439</v>
      </c>
      <c r="E374">
        <f t="shared" si="40"/>
        <v>376</v>
      </c>
      <c r="F374">
        <v>313</v>
      </c>
      <c r="G374">
        <f t="shared" si="41"/>
        <v>213</v>
      </c>
      <c r="H374">
        <v>113</v>
      </c>
      <c r="I374">
        <v>588</v>
      </c>
      <c r="J374">
        <v>530</v>
      </c>
      <c r="K374">
        <v>439</v>
      </c>
      <c r="L374">
        <f t="shared" si="42"/>
        <v>376</v>
      </c>
      <c r="M374">
        <v>313</v>
      </c>
      <c r="N374">
        <f t="shared" si="43"/>
        <v>213</v>
      </c>
      <c r="O374">
        <v>113</v>
      </c>
      <c r="P374">
        <v>441</v>
      </c>
      <c r="Q374">
        <v>405</v>
      </c>
      <c r="R374">
        <v>344</v>
      </c>
      <c r="S374">
        <f t="shared" si="44"/>
        <v>300</v>
      </c>
      <c r="T374">
        <v>255</v>
      </c>
      <c r="U374">
        <f t="shared" si="45"/>
        <v>177</v>
      </c>
      <c r="V374">
        <v>99</v>
      </c>
      <c r="W374">
        <v>441</v>
      </c>
      <c r="X374">
        <v>405</v>
      </c>
      <c r="Y374">
        <v>344</v>
      </c>
      <c r="Z374">
        <f t="shared" si="46"/>
        <v>300</v>
      </c>
      <c r="AA374">
        <v>255</v>
      </c>
      <c r="AB374">
        <f t="shared" si="47"/>
        <v>177</v>
      </c>
      <c r="AC374">
        <v>99</v>
      </c>
    </row>
    <row r="375" spans="1:29" x14ac:dyDescent="0.25">
      <c r="A375" t="s">
        <v>383</v>
      </c>
      <c r="B375">
        <v>892</v>
      </c>
      <c r="C375">
        <v>787</v>
      </c>
      <c r="D375">
        <v>651</v>
      </c>
      <c r="E375">
        <f t="shared" si="40"/>
        <v>558</v>
      </c>
      <c r="F375">
        <v>464</v>
      </c>
      <c r="G375">
        <f t="shared" si="41"/>
        <v>319</v>
      </c>
      <c r="H375">
        <v>174</v>
      </c>
      <c r="I375">
        <v>853</v>
      </c>
      <c r="J375">
        <v>739</v>
      </c>
      <c r="K375">
        <v>599</v>
      </c>
      <c r="L375">
        <f t="shared" si="42"/>
        <v>509</v>
      </c>
      <c r="M375">
        <v>418</v>
      </c>
      <c r="N375">
        <f t="shared" si="43"/>
        <v>286</v>
      </c>
      <c r="O375">
        <v>153</v>
      </c>
      <c r="P375">
        <v>669</v>
      </c>
      <c r="Q375">
        <v>602</v>
      </c>
      <c r="R375">
        <v>510</v>
      </c>
      <c r="S375">
        <f t="shared" si="44"/>
        <v>444</v>
      </c>
      <c r="T375">
        <v>377</v>
      </c>
      <c r="U375">
        <f t="shared" si="45"/>
        <v>265</v>
      </c>
      <c r="V375">
        <v>152</v>
      </c>
      <c r="W375">
        <v>640</v>
      </c>
      <c r="X375">
        <v>565</v>
      </c>
      <c r="Y375">
        <v>469</v>
      </c>
      <c r="Z375">
        <f t="shared" si="46"/>
        <v>404</v>
      </c>
      <c r="AA375">
        <v>339</v>
      </c>
      <c r="AB375">
        <f t="shared" si="47"/>
        <v>237</v>
      </c>
      <c r="AC375">
        <v>134</v>
      </c>
    </row>
    <row r="376" spans="1:29" x14ac:dyDescent="0.25">
      <c r="A376" t="s">
        <v>384</v>
      </c>
      <c r="B376">
        <v>807</v>
      </c>
      <c r="C376">
        <v>713</v>
      </c>
      <c r="D376">
        <v>573</v>
      </c>
      <c r="E376">
        <f t="shared" si="40"/>
        <v>487</v>
      </c>
      <c r="F376">
        <v>401</v>
      </c>
      <c r="G376">
        <f t="shared" si="41"/>
        <v>275</v>
      </c>
      <c r="H376">
        <v>149</v>
      </c>
      <c r="I376">
        <v>807</v>
      </c>
      <c r="J376">
        <v>713</v>
      </c>
      <c r="K376">
        <v>573</v>
      </c>
      <c r="L376">
        <f t="shared" si="42"/>
        <v>487</v>
      </c>
      <c r="M376">
        <v>401</v>
      </c>
      <c r="N376">
        <f t="shared" si="43"/>
        <v>272</v>
      </c>
      <c r="O376">
        <v>142</v>
      </c>
      <c r="P376">
        <v>605</v>
      </c>
      <c r="Q376">
        <v>546</v>
      </c>
      <c r="R376">
        <v>449</v>
      </c>
      <c r="S376">
        <f t="shared" si="44"/>
        <v>388</v>
      </c>
      <c r="T376">
        <v>326</v>
      </c>
      <c r="U376">
        <f t="shared" si="45"/>
        <v>228</v>
      </c>
      <c r="V376">
        <v>130</v>
      </c>
      <c r="W376">
        <v>605</v>
      </c>
      <c r="X376">
        <v>546</v>
      </c>
      <c r="Y376">
        <v>449</v>
      </c>
      <c r="Z376">
        <f t="shared" si="46"/>
        <v>388</v>
      </c>
      <c r="AA376">
        <v>326</v>
      </c>
      <c r="AB376">
        <f t="shared" si="47"/>
        <v>225</v>
      </c>
      <c r="AC376">
        <v>124</v>
      </c>
    </row>
    <row r="377" spans="1:29" x14ac:dyDescent="0.25">
      <c r="A377" t="s">
        <v>385</v>
      </c>
      <c r="B377">
        <v>753</v>
      </c>
      <c r="C377">
        <v>669</v>
      </c>
      <c r="D377">
        <v>542</v>
      </c>
      <c r="E377">
        <f t="shared" si="40"/>
        <v>461</v>
      </c>
      <c r="F377">
        <v>380</v>
      </c>
      <c r="G377">
        <f t="shared" si="41"/>
        <v>260</v>
      </c>
      <c r="H377">
        <v>140</v>
      </c>
      <c r="I377">
        <v>753</v>
      </c>
      <c r="J377">
        <v>669</v>
      </c>
      <c r="K377">
        <v>542</v>
      </c>
      <c r="L377">
        <f t="shared" si="42"/>
        <v>461</v>
      </c>
      <c r="M377">
        <v>380</v>
      </c>
      <c r="N377">
        <f t="shared" si="43"/>
        <v>260</v>
      </c>
      <c r="O377">
        <v>140</v>
      </c>
      <c r="P377">
        <v>564</v>
      </c>
      <c r="Q377">
        <v>512</v>
      </c>
      <c r="R377">
        <v>424</v>
      </c>
      <c r="S377">
        <f t="shared" si="44"/>
        <v>367</v>
      </c>
      <c r="T377">
        <v>309</v>
      </c>
      <c r="U377">
        <f t="shared" si="45"/>
        <v>216</v>
      </c>
      <c r="V377">
        <v>122</v>
      </c>
      <c r="W377">
        <v>564</v>
      </c>
      <c r="X377">
        <v>512</v>
      </c>
      <c r="Y377">
        <v>424</v>
      </c>
      <c r="Z377">
        <f t="shared" si="46"/>
        <v>367</v>
      </c>
      <c r="AA377">
        <v>309</v>
      </c>
      <c r="AB377">
        <f t="shared" si="47"/>
        <v>216</v>
      </c>
      <c r="AC377">
        <v>122</v>
      </c>
    </row>
    <row r="378" spans="1:29" x14ac:dyDescent="0.25">
      <c r="A378" t="s">
        <v>386</v>
      </c>
      <c r="B378">
        <v>699</v>
      </c>
      <c r="C378">
        <v>623</v>
      </c>
      <c r="D378">
        <v>512</v>
      </c>
      <c r="E378">
        <f t="shared" si="40"/>
        <v>435</v>
      </c>
      <c r="F378">
        <v>358</v>
      </c>
      <c r="G378">
        <f t="shared" si="41"/>
        <v>246</v>
      </c>
      <c r="H378">
        <v>133</v>
      </c>
      <c r="I378">
        <v>699</v>
      </c>
      <c r="J378">
        <v>623</v>
      </c>
      <c r="K378">
        <v>512</v>
      </c>
      <c r="L378">
        <f t="shared" si="42"/>
        <v>435</v>
      </c>
      <c r="M378">
        <v>358</v>
      </c>
      <c r="N378">
        <f t="shared" si="43"/>
        <v>246</v>
      </c>
      <c r="O378">
        <v>133</v>
      </c>
      <c r="P378">
        <v>524</v>
      </c>
      <c r="Q378">
        <v>477</v>
      </c>
      <c r="R378">
        <v>401</v>
      </c>
      <c r="S378">
        <f t="shared" si="44"/>
        <v>346</v>
      </c>
      <c r="T378">
        <v>291</v>
      </c>
      <c r="U378">
        <f t="shared" si="45"/>
        <v>204</v>
      </c>
      <c r="V378">
        <v>116</v>
      </c>
      <c r="W378">
        <v>524</v>
      </c>
      <c r="X378">
        <v>477</v>
      </c>
      <c r="Y378">
        <v>401</v>
      </c>
      <c r="Z378">
        <f t="shared" si="46"/>
        <v>346</v>
      </c>
      <c r="AA378">
        <v>291</v>
      </c>
      <c r="AB378">
        <f t="shared" si="47"/>
        <v>204</v>
      </c>
      <c r="AC378">
        <v>116</v>
      </c>
    </row>
    <row r="379" spans="1:29" x14ac:dyDescent="0.25">
      <c r="A379" t="s">
        <v>387</v>
      </c>
      <c r="B379">
        <v>643</v>
      </c>
      <c r="C379">
        <v>576</v>
      </c>
      <c r="D379">
        <v>477</v>
      </c>
      <c r="E379">
        <f t="shared" si="40"/>
        <v>409</v>
      </c>
      <c r="F379">
        <v>340</v>
      </c>
      <c r="G379">
        <f t="shared" si="41"/>
        <v>233</v>
      </c>
      <c r="H379">
        <v>125</v>
      </c>
      <c r="I379">
        <v>643</v>
      </c>
      <c r="J379">
        <v>576</v>
      </c>
      <c r="K379">
        <v>477</v>
      </c>
      <c r="L379">
        <f t="shared" si="42"/>
        <v>409</v>
      </c>
      <c r="M379">
        <v>340</v>
      </c>
      <c r="N379">
        <f t="shared" si="43"/>
        <v>233</v>
      </c>
      <c r="O379">
        <v>125</v>
      </c>
      <c r="P379">
        <v>482</v>
      </c>
      <c r="Q379">
        <v>441</v>
      </c>
      <c r="R379">
        <v>374</v>
      </c>
      <c r="S379">
        <f t="shared" si="44"/>
        <v>325</v>
      </c>
      <c r="T379">
        <v>276</v>
      </c>
      <c r="U379">
        <f t="shared" si="45"/>
        <v>193</v>
      </c>
      <c r="V379">
        <v>109</v>
      </c>
      <c r="W379">
        <v>482</v>
      </c>
      <c r="X379">
        <v>441</v>
      </c>
      <c r="Y379">
        <v>374</v>
      </c>
      <c r="Z379">
        <f t="shared" si="46"/>
        <v>325</v>
      </c>
      <c r="AA379">
        <v>276</v>
      </c>
      <c r="AB379">
        <f t="shared" si="47"/>
        <v>193</v>
      </c>
      <c r="AC379">
        <v>109</v>
      </c>
    </row>
    <row r="380" spans="1:29" x14ac:dyDescent="0.25">
      <c r="A380" t="s">
        <v>388</v>
      </c>
      <c r="B380">
        <v>583</v>
      </c>
      <c r="C380">
        <v>525</v>
      </c>
      <c r="D380">
        <v>436</v>
      </c>
      <c r="E380">
        <f t="shared" si="40"/>
        <v>374</v>
      </c>
      <c r="F380">
        <v>312</v>
      </c>
      <c r="G380">
        <f t="shared" si="41"/>
        <v>213</v>
      </c>
      <c r="H380">
        <v>113</v>
      </c>
      <c r="I380">
        <v>583</v>
      </c>
      <c r="J380">
        <v>525</v>
      </c>
      <c r="K380">
        <v>436</v>
      </c>
      <c r="L380">
        <f t="shared" si="42"/>
        <v>374</v>
      </c>
      <c r="M380">
        <v>312</v>
      </c>
      <c r="N380">
        <f t="shared" si="43"/>
        <v>213</v>
      </c>
      <c r="O380">
        <v>113</v>
      </c>
      <c r="P380">
        <v>437</v>
      </c>
      <c r="Q380">
        <v>402</v>
      </c>
      <c r="R380">
        <v>341</v>
      </c>
      <c r="S380">
        <f t="shared" si="44"/>
        <v>297</v>
      </c>
      <c r="T380">
        <v>253</v>
      </c>
      <c r="U380">
        <f t="shared" si="45"/>
        <v>176</v>
      </c>
      <c r="V380">
        <v>99</v>
      </c>
      <c r="W380">
        <v>437</v>
      </c>
      <c r="X380">
        <v>402</v>
      </c>
      <c r="Y380">
        <v>341</v>
      </c>
      <c r="Z380">
        <f t="shared" si="46"/>
        <v>297</v>
      </c>
      <c r="AA380">
        <v>253</v>
      </c>
      <c r="AB380">
        <f t="shared" si="47"/>
        <v>176</v>
      </c>
      <c r="AC380">
        <v>99</v>
      </c>
    </row>
    <row r="381" spans="1:29" x14ac:dyDescent="0.25">
      <c r="A381" t="s">
        <v>389</v>
      </c>
      <c r="B381">
        <v>519</v>
      </c>
      <c r="C381">
        <v>470</v>
      </c>
      <c r="D381">
        <v>393</v>
      </c>
      <c r="E381">
        <f t="shared" si="40"/>
        <v>338</v>
      </c>
      <c r="F381">
        <v>282</v>
      </c>
      <c r="G381">
        <f t="shared" si="41"/>
        <v>192</v>
      </c>
      <c r="H381">
        <v>102</v>
      </c>
      <c r="I381">
        <v>519</v>
      </c>
      <c r="J381">
        <v>470</v>
      </c>
      <c r="K381">
        <v>393</v>
      </c>
      <c r="L381">
        <f t="shared" si="42"/>
        <v>338</v>
      </c>
      <c r="M381">
        <v>282</v>
      </c>
      <c r="N381">
        <f t="shared" si="43"/>
        <v>192</v>
      </c>
      <c r="O381">
        <v>102</v>
      </c>
      <c r="P381">
        <v>389</v>
      </c>
      <c r="Q381">
        <v>359</v>
      </c>
      <c r="R381">
        <v>308</v>
      </c>
      <c r="S381">
        <f t="shared" si="44"/>
        <v>269</v>
      </c>
      <c r="T381">
        <v>229</v>
      </c>
      <c r="U381">
        <f t="shared" si="45"/>
        <v>159</v>
      </c>
      <c r="V381">
        <v>89</v>
      </c>
      <c r="W381">
        <v>389</v>
      </c>
      <c r="X381">
        <v>359</v>
      </c>
      <c r="Y381">
        <v>308</v>
      </c>
      <c r="Z381">
        <f t="shared" si="46"/>
        <v>269</v>
      </c>
      <c r="AA381">
        <v>229</v>
      </c>
      <c r="AB381">
        <f t="shared" si="47"/>
        <v>159</v>
      </c>
      <c r="AC381">
        <v>89</v>
      </c>
    </row>
    <row r="382" spans="1:29" x14ac:dyDescent="0.25">
      <c r="A382" t="s">
        <v>390</v>
      </c>
      <c r="B382">
        <v>799</v>
      </c>
      <c r="C382">
        <v>706</v>
      </c>
      <c r="D382">
        <v>567</v>
      </c>
      <c r="E382">
        <f t="shared" si="40"/>
        <v>482</v>
      </c>
      <c r="F382">
        <v>396</v>
      </c>
      <c r="G382">
        <f t="shared" si="41"/>
        <v>272</v>
      </c>
      <c r="H382">
        <v>148</v>
      </c>
      <c r="I382">
        <v>799</v>
      </c>
      <c r="J382">
        <v>706</v>
      </c>
      <c r="K382">
        <v>567</v>
      </c>
      <c r="L382">
        <f t="shared" si="42"/>
        <v>482</v>
      </c>
      <c r="M382">
        <v>396</v>
      </c>
      <c r="N382">
        <f t="shared" si="43"/>
        <v>271</v>
      </c>
      <c r="O382">
        <v>145</v>
      </c>
      <c r="P382">
        <v>599</v>
      </c>
      <c r="Q382">
        <v>540</v>
      </c>
      <c r="R382">
        <v>444</v>
      </c>
      <c r="S382">
        <f t="shared" si="44"/>
        <v>383</v>
      </c>
      <c r="T382">
        <v>322</v>
      </c>
      <c r="U382">
        <f t="shared" si="45"/>
        <v>226</v>
      </c>
      <c r="V382">
        <v>129</v>
      </c>
      <c r="W382">
        <v>599</v>
      </c>
      <c r="X382">
        <v>540</v>
      </c>
      <c r="Y382">
        <v>444</v>
      </c>
      <c r="Z382">
        <f t="shared" si="46"/>
        <v>383</v>
      </c>
      <c r="AA382">
        <v>322</v>
      </c>
      <c r="AB382">
        <f t="shared" si="47"/>
        <v>224</v>
      </c>
      <c r="AC382">
        <v>126</v>
      </c>
    </row>
    <row r="383" spans="1:29" x14ac:dyDescent="0.25">
      <c r="A383" t="s">
        <v>391</v>
      </c>
      <c r="B383">
        <v>745</v>
      </c>
      <c r="C383">
        <v>661</v>
      </c>
      <c r="D383">
        <v>540</v>
      </c>
      <c r="E383">
        <f t="shared" si="40"/>
        <v>458</v>
      </c>
      <c r="F383">
        <v>375</v>
      </c>
      <c r="G383">
        <f t="shared" si="41"/>
        <v>256</v>
      </c>
      <c r="H383">
        <v>137</v>
      </c>
      <c r="I383">
        <v>745</v>
      </c>
      <c r="J383">
        <v>661</v>
      </c>
      <c r="K383">
        <v>540</v>
      </c>
      <c r="L383">
        <f t="shared" si="42"/>
        <v>458</v>
      </c>
      <c r="M383">
        <v>375</v>
      </c>
      <c r="N383">
        <f t="shared" si="43"/>
        <v>256</v>
      </c>
      <c r="O383">
        <v>137</v>
      </c>
      <c r="P383">
        <v>559</v>
      </c>
      <c r="Q383">
        <v>506</v>
      </c>
      <c r="R383">
        <v>423</v>
      </c>
      <c r="S383">
        <f t="shared" si="44"/>
        <v>364</v>
      </c>
      <c r="T383">
        <v>304</v>
      </c>
      <c r="U383">
        <f t="shared" si="45"/>
        <v>212</v>
      </c>
      <c r="V383">
        <v>120</v>
      </c>
      <c r="W383">
        <v>559</v>
      </c>
      <c r="X383">
        <v>506</v>
      </c>
      <c r="Y383">
        <v>423</v>
      </c>
      <c r="Z383">
        <f t="shared" si="46"/>
        <v>364</v>
      </c>
      <c r="AA383">
        <v>304</v>
      </c>
      <c r="AB383">
        <f t="shared" si="47"/>
        <v>212</v>
      </c>
      <c r="AC383">
        <v>120</v>
      </c>
    </row>
    <row r="384" spans="1:29" x14ac:dyDescent="0.25">
      <c r="A384" t="s">
        <v>392</v>
      </c>
      <c r="B384">
        <v>690</v>
      </c>
      <c r="C384">
        <v>616</v>
      </c>
      <c r="D384">
        <v>506</v>
      </c>
      <c r="E384">
        <f t="shared" si="40"/>
        <v>430</v>
      </c>
      <c r="F384">
        <v>354</v>
      </c>
      <c r="G384">
        <f t="shared" si="41"/>
        <v>242</v>
      </c>
      <c r="H384">
        <v>130</v>
      </c>
      <c r="I384">
        <v>690</v>
      </c>
      <c r="J384">
        <v>616</v>
      </c>
      <c r="K384">
        <v>506</v>
      </c>
      <c r="L384">
        <f t="shared" si="42"/>
        <v>430</v>
      </c>
      <c r="M384">
        <v>354</v>
      </c>
      <c r="N384">
        <f t="shared" si="43"/>
        <v>242</v>
      </c>
      <c r="O384">
        <v>130</v>
      </c>
      <c r="P384">
        <v>517</v>
      </c>
      <c r="Q384">
        <v>471</v>
      </c>
      <c r="R384">
        <v>396</v>
      </c>
      <c r="S384">
        <f t="shared" si="44"/>
        <v>342</v>
      </c>
      <c r="T384">
        <v>287</v>
      </c>
      <c r="U384">
        <f t="shared" si="45"/>
        <v>200</v>
      </c>
      <c r="V384">
        <v>113</v>
      </c>
      <c r="W384">
        <v>517</v>
      </c>
      <c r="X384">
        <v>471</v>
      </c>
      <c r="Y384">
        <v>396</v>
      </c>
      <c r="Z384">
        <f t="shared" si="46"/>
        <v>342</v>
      </c>
      <c r="AA384">
        <v>287</v>
      </c>
      <c r="AB384">
        <f t="shared" si="47"/>
        <v>200</v>
      </c>
      <c r="AC384">
        <v>113</v>
      </c>
    </row>
    <row r="385" spans="1:29" x14ac:dyDescent="0.25">
      <c r="A385" t="s">
        <v>393</v>
      </c>
      <c r="B385">
        <v>635</v>
      </c>
      <c r="C385">
        <v>569</v>
      </c>
      <c r="D385">
        <v>470</v>
      </c>
      <c r="E385">
        <f t="shared" si="40"/>
        <v>403</v>
      </c>
      <c r="F385">
        <v>336</v>
      </c>
      <c r="G385">
        <f t="shared" si="41"/>
        <v>230</v>
      </c>
      <c r="H385">
        <v>123</v>
      </c>
      <c r="I385">
        <v>635</v>
      </c>
      <c r="J385">
        <v>569</v>
      </c>
      <c r="K385">
        <v>470</v>
      </c>
      <c r="L385">
        <f t="shared" si="42"/>
        <v>403</v>
      </c>
      <c r="M385">
        <v>336</v>
      </c>
      <c r="N385">
        <f t="shared" si="43"/>
        <v>230</v>
      </c>
      <c r="O385">
        <v>123</v>
      </c>
      <c r="P385">
        <v>476</v>
      </c>
      <c r="Q385">
        <v>435</v>
      </c>
      <c r="R385">
        <v>368</v>
      </c>
      <c r="S385">
        <f t="shared" si="44"/>
        <v>321</v>
      </c>
      <c r="T385">
        <v>273</v>
      </c>
      <c r="U385">
        <f t="shared" si="45"/>
        <v>190</v>
      </c>
      <c r="V385">
        <v>107</v>
      </c>
      <c r="W385">
        <v>476</v>
      </c>
      <c r="X385">
        <v>435</v>
      </c>
      <c r="Y385">
        <v>368</v>
      </c>
      <c r="Z385">
        <f t="shared" si="46"/>
        <v>321</v>
      </c>
      <c r="AA385">
        <v>273</v>
      </c>
      <c r="AB385">
        <f t="shared" si="47"/>
        <v>190</v>
      </c>
      <c r="AC385">
        <v>107</v>
      </c>
    </row>
    <row r="386" spans="1:29" x14ac:dyDescent="0.25">
      <c r="A386" t="s">
        <v>394</v>
      </c>
      <c r="B386">
        <v>578</v>
      </c>
      <c r="C386">
        <v>521</v>
      </c>
      <c r="D386">
        <v>432</v>
      </c>
      <c r="E386">
        <f t="shared" si="40"/>
        <v>372</v>
      </c>
      <c r="F386">
        <v>311</v>
      </c>
      <c r="G386">
        <f t="shared" si="41"/>
        <v>212</v>
      </c>
      <c r="H386">
        <v>113</v>
      </c>
      <c r="I386">
        <v>578</v>
      </c>
      <c r="J386">
        <v>521</v>
      </c>
      <c r="K386">
        <v>432</v>
      </c>
      <c r="L386">
        <f t="shared" si="42"/>
        <v>372</v>
      </c>
      <c r="M386">
        <v>311</v>
      </c>
      <c r="N386">
        <f t="shared" si="43"/>
        <v>212</v>
      </c>
      <c r="O386">
        <v>113</v>
      </c>
      <c r="P386">
        <v>433</v>
      </c>
      <c r="Q386">
        <v>399</v>
      </c>
      <c r="R386">
        <v>338</v>
      </c>
      <c r="S386">
        <f t="shared" si="44"/>
        <v>296</v>
      </c>
      <c r="T386">
        <v>253</v>
      </c>
      <c r="U386">
        <f t="shared" si="45"/>
        <v>176</v>
      </c>
      <c r="V386">
        <v>99</v>
      </c>
      <c r="W386">
        <v>433</v>
      </c>
      <c r="X386">
        <v>399</v>
      </c>
      <c r="Y386">
        <v>338</v>
      </c>
      <c r="Z386">
        <f t="shared" si="46"/>
        <v>296</v>
      </c>
      <c r="AA386">
        <v>253</v>
      </c>
      <c r="AB386">
        <f t="shared" si="47"/>
        <v>176</v>
      </c>
      <c r="AC386">
        <v>99</v>
      </c>
    </row>
    <row r="387" spans="1:29" x14ac:dyDescent="0.25">
      <c r="A387" t="s">
        <v>395</v>
      </c>
      <c r="B387">
        <v>515</v>
      </c>
      <c r="C387">
        <v>466</v>
      </c>
      <c r="D387">
        <v>389</v>
      </c>
      <c r="E387">
        <f t="shared" si="40"/>
        <v>335</v>
      </c>
      <c r="F387">
        <v>281</v>
      </c>
      <c r="G387">
        <f t="shared" si="41"/>
        <v>192</v>
      </c>
      <c r="H387">
        <v>102</v>
      </c>
      <c r="I387">
        <v>515</v>
      </c>
      <c r="J387">
        <v>466</v>
      </c>
      <c r="K387">
        <v>389</v>
      </c>
      <c r="L387">
        <f t="shared" si="42"/>
        <v>335</v>
      </c>
      <c r="M387">
        <v>281</v>
      </c>
      <c r="N387">
        <f t="shared" si="43"/>
        <v>192</v>
      </c>
      <c r="O387">
        <v>102</v>
      </c>
      <c r="P387">
        <v>386</v>
      </c>
      <c r="Q387">
        <v>357</v>
      </c>
      <c r="R387">
        <v>305</v>
      </c>
      <c r="S387">
        <f t="shared" si="44"/>
        <v>267</v>
      </c>
      <c r="T387">
        <v>228</v>
      </c>
      <c r="U387">
        <f t="shared" si="45"/>
        <v>158</v>
      </c>
      <c r="V387">
        <v>88</v>
      </c>
      <c r="W387">
        <v>386</v>
      </c>
      <c r="X387">
        <v>357</v>
      </c>
      <c r="Y387">
        <v>305</v>
      </c>
      <c r="Z387">
        <f t="shared" si="46"/>
        <v>267</v>
      </c>
      <c r="AA387">
        <v>228</v>
      </c>
      <c r="AB387">
        <f t="shared" si="47"/>
        <v>158</v>
      </c>
      <c r="AC387">
        <v>88</v>
      </c>
    </row>
    <row r="388" spans="1:29" x14ac:dyDescent="0.25">
      <c r="A388" t="s">
        <v>396</v>
      </c>
      <c r="B388">
        <v>448</v>
      </c>
      <c r="C388">
        <v>408</v>
      </c>
      <c r="D388">
        <v>343</v>
      </c>
      <c r="E388">
        <f t="shared" ref="E388:E451" si="48">ROUND((D388+F388)/2,0)</f>
        <v>297</v>
      </c>
      <c r="F388">
        <v>250</v>
      </c>
      <c r="G388">
        <f t="shared" ref="G388:G451" si="49">ROUND((F388+H388)/2,0)</f>
        <v>171</v>
      </c>
      <c r="H388">
        <v>91</v>
      </c>
      <c r="I388">
        <v>448</v>
      </c>
      <c r="J388">
        <v>408</v>
      </c>
      <c r="K388">
        <v>343</v>
      </c>
      <c r="L388">
        <f t="shared" ref="L388:L451" si="50">ROUND((K388+M388)/2,0)</f>
        <v>297</v>
      </c>
      <c r="M388">
        <v>250</v>
      </c>
      <c r="N388">
        <f t="shared" ref="N388:N451" si="51">ROUND((M388+O388)/2,0)</f>
        <v>171</v>
      </c>
      <c r="O388">
        <v>91</v>
      </c>
      <c r="P388">
        <v>336</v>
      </c>
      <c r="Q388">
        <v>312</v>
      </c>
      <c r="R388">
        <v>269</v>
      </c>
      <c r="S388">
        <f t="shared" ref="S388:S451" si="52">ROUND((R388+T388)/2,0)</f>
        <v>236</v>
      </c>
      <c r="T388">
        <v>203</v>
      </c>
      <c r="U388">
        <f t="shared" ref="U388:U451" si="53">ROUND((T388+V388)/2,0)</f>
        <v>141</v>
      </c>
      <c r="V388">
        <v>79</v>
      </c>
      <c r="W388">
        <v>336</v>
      </c>
      <c r="X388">
        <v>312</v>
      </c>
      <c r="Y388">
        <v>269</v>
      </c>
      <c r="Z388">
        <f t="shared" ref="Z388:Z451" si="54">ROUND((Y388+AA388)/2,0)</f>
        <v>236</v>
      </c>
      <c r="AA388">
        <v>203</v>
      </c>
      <c r="AB388">
        <f t="shared" ref="AB388:AB451" si="55">ROUND((AA388+AC388)/2,0)</f>
        <v>141</v>
      </c>
      <c r="AC388">
        <v>79</v>
      </c>
    </row>
    <row r="389" spans="1:29" x14ac:dyDescent="0.25">
      <c r="A389" t="s">
        <v>397</v>
      </c>
      <c r="B389">
        <v>737</v>
      </c>
      <c r="C389">
        <v>653</v>
      </c>
      <c r="D389">
        <v>533</v>
      </c>
      <c r="E389">
        <f t="shared" si="48"/>
        <v>452</v>
      </c>
      <c r="F389">
        <v>370</v>
      </c>
      <c r="G389">
        <f t="shared" si="49"/>
        <v>253</v>
      </c>
      <c r="H389">
        <v>135</v>
      </c>
      <c r="I389">
        <v>737</v>
      </c>
      <c r="J389">
        <v>653</v>
      </c>
      <c r="K389">
        <v>533</v>
      </c>
      <c r="L389">
        <f t="shared" si="50"/>
        <v>452</v>
      </c>
      <c r="M389">
        <v>370</v>
      </c>
      <c r="N389">
        <f t="shared" si="51"/>
        <v>253</v>
      </c>
      <c r="O389">
        <v>135</v>
      </c>
      <c r="P389">
        <v>552</v>
      </c>
      <c r="Q389">
        <v>500</v>
      </c>
      <c r="R389">
        <v>417</v>
      </c>
      <c r="S389">
        <f t="shared" si="52"/>
        <v>359</v>
      </c>
      <c r="T389">
        <v>301</v>
      </c>
      <c r="U389">
        <f t="shared" si="53"/>
        <v>209</v>
      </c>
      <c r="V389">
        <v>117</v>
      </c>
      <c r="W389">
        <v>552</v>
      </c>
      <c r="X389">
        <v>500</v>
      </c>
      <c r="Y389">
        <v>417</v>
      </c>
      <c r="Z389">
        <f t="shared" si="54"/>
        <v>359</v>
      </c>
      <c r="AA389">
        <v>301</v>
      </c>
      <c r="AB389">
        <f t="shared" si="55"/>
        <v>209</v>
      </c>
      <c r="AC389">
        <v>117</v>
      </c>
    </row>
    <row r="390" spans="1:29" x14ac:dyDescent="0.25">
      <c r="A390" t="s">
        <v>398</v>
      </c>
      <c r="B390">
        <v>682</v>
      </c>
      <c r="C390">
        <v>607</v>
      </c>
      <c r="D390">
        <v>499</v>
      </c>
      <c r="E390">
        <f t="shared" si="48"/>
        <v>424</v>
      </c>
      <c r="F390">
        <v>349</v>
      </c>
      <c r="G390">
        <f t="shared" si="49"/>
        <v>238</v>
      </c>
      <c r="H390">
        <v>127</v>
      </c>
      <c r="I390">
        <v>682</v>
      </c>
      <c r="J390">
        <v>607</v>
      </c>
      <c r="K390">
        <v>499</v>
      </c>
      <c r="L390">
        <f t="shared" si="50"/>
        <v>424</v>
      </c>
      <c r="M390">
        <v>349</v>
      </c>
      <c r="N390">
        <f t="shared" si="51"/>
        <v>238</v>
      </c>
      <c r="O390">
        <v>127</v>
      </c>
      <c r="P390">
        <v>511</v>
      </c>
      <c r="Q390">
        <v>465</v>
      </c>
      <c r="R390">
        <v>390</v>
      </c>
      <c r="S390">
        <f t="shared" si="52"/>
        <v>337</v>
      </c>
      <c r="T390">
        <v>283</v>
      </c>
      <c r="U390">
        <f t="shared" si="53"/>
        <v>197</v>
      </c>
      <c r="V390">
        <v>111</v>
      </c>
      <c r="W390">
        <v>511</v>
      </c>
      <c r="X390">
        <v>465</v>
      </c>
      <c r="Y390">
        <v>390</v>
      </c>
      <c r="Z390">
        <f t="shared" si="54"/>
        <v>337</v>
      </c>
      <c r="AA390">
        <v>283</v>
      </c>
      <c r="AB390">
        <f t="shared" si="55"/>
        <v>197</v>
      </c>
      <c r="AC390">
        <v>111</v>
      </c>
    </row>
    <row r="391" spans="1:29" x14ac:dyDescent="0.25">
      <c r="A391" t="s">
        <v>399</v>
      </c>
      <c r="B391">
        <v>627</v>
      </c>
      <c r="C391">
        <v>561</v>
      </c>
      <c r="D391">
        <v>464</v>
      </c>
      <c r="E391">
        <f t="shared" si="48"/>
        <v>398</v>
      </c>
      <c r="F391">
        <v>331</v>
      </c>
      <c r="G391">
        <f t="shared" si="49"/>
        <v>227</v>
      </c>
      <c r="H391">
        <v>122</v>
      </c>
      <c r="I391">
        <v>627</v>
      </c>
      <c r="J391">
        <v>561</v>
      </c>
      <c r="K391">
        <v>464</v>
      </c>
      <c r="L391">
        <f t="shared" si="50"/>
        <v>398</v>
      </c>
      <c r="M391">
        <v>331</v>
      </c>
      <c r="N391">
        <f t="shared" si="51"/>
        <v>227</v>
      </c>
      <c r="O391">
        <v>122</v>
      </c>
      <c r="P391">
        <v>470</v>
      </c>
      <c r="Q391">
        <v>429</v>
      </c>
      <c r="R391">
        <v>363</v>
      </c>
      <c r="S391">
        <f t="shared" si="52"/>
        <v>316</v>
      </c>
      <c r="T391">
        <v>269</v>
      </c>
      <c r="U391">
        <f t="shared" si="53"/>
        <v>188</v>
      </c>
      <c r="V391">
        <v>106</v>
      </c>
      <c r="W391">
        <v>470</v>
      </c>
      <c r="X391">
        <v>429</v>
      </c>
      <c r="Y391">
        <v>363</v>
      </c>
      <c r="Z391">
        <f t="shared" si="54"/>
        <v>316</v>
      </c>
      <c r="AA391">
        <v>269</v>
      </c>
      <c r="AB391">
        <f t="shared" si="55"/>
        <v>188</v>
      </c>
      <c r="AC391">
        <v>106</v>
      </c>
    </row>
    <row r="392" spans="1:29" x14ac:dyDescent="0.25">
      <c r="A392" t="s">
        <v>400</v>
      </c>
      <c r="B392">
        <v>570</v>
      </c>
      <c r="C392">
        <v>513</v>
      </c>
      <c r="D392">
        <v>426</v>
      </c>
      <c r="E392">
        <f t="shared" si="48"/>
        <v>366</v>
      </c>
      <c r="F392">
        <v>306</v>
      </c>
      <c r="G392">
        <f t="shared" si="49"/>
        <v>210</v>
      </c>
      <c r="H392">
        <v>113</v>
      </c>
      <c r="I392">
        <v>570</v>
      </c>
      <c r="J392">
        <v>513</v>
      </c>
      <c r="K392">
        <v>426</v>
      </c>
      <c r="L392">
        <f t="shared" si="50"/>
        <v>366</v>
      </c>
      <c r="M392">
        <v>306</v>
      </c>
      <c r="N392">
        <f t="shared" si="51"/>
        <v>210</v>
      </c>
      <c r="O392">
        <v>113</v>
      </c>
      <c r="P392">
        <v>428</v>
      </c>
      <c r="Q392">
        <v>392</v>
      </c>
      <c r="R392">
        <v>333</v>
      </c>
      <c r="S392">
        <f t="shared" si="52"/>
        <v>291</v>
      </c>
      <c r="T392">
        <v>248</v>
      </c>
      <c r="U392">
        <f t="shared" si="53"/>
        <v>174</v>
      </c>
      <c r="V392">
        <v>99</v>
      </c>
      <c r="W392">
        <v>428</v>
      </c>
      <c r="X392">
        <v>392</v>
      </c>
      <c r="Y392">
        <v>333</v>
      </c>
      <c r="Z392">
        <f t="shared" si="54"/>
        <v>291</v>
      </c>
      <c r="AA392">
        <v>248</v>
      </c>
      <c r="AB392">
        <f t="shared" si="55"/>
        <v>174</v>
      </c>
      <c r="AC392">
        <v>99</v>
      </c>
    </row>
    <row r="393" spans="1:29" x14ac:dyDescent="0.25">
      <c r="A393" t="s">
        <v>401</v>
      </c>
      <c r="B393">
        <v>510</v>
      </c>
      <c r="C393">
        <v>460</v>
      </c>
      <c r="D393">
        <v>385</v>
      </c>
      <c r="E393">
        <f t="shared" si="48"/>
        <v>332</v>
      </c>
      <c r="F393">
        <v>278</v>
      </c>
      <c r="G393">
        <f t="shared" si="49"/>
        <v>190</v>
      </c>
      <c r="H393">
        <v>102</v>
      </c>
      <c r="I393">
        <v>510</v>
      </c>
      <c r="J393">
        <v>460</v>
      </c>
      <c r="K393">
        <v>385</v>
      </c>
      <c r="L393">
        <f t="shared" si="50"/>
        <v>332</v>
      </c>
      <c r="M393">
        <v>278</v>
      </c>
      <c r="N393">
        <f t="shared" si="51"/>
        <v>190</v>
      </c>
      <c r="O393">
        <v>102</v>
      </c>
      <c r="P393">
        <v>382</v>
      </c>
      <c r="Q393">
        <v>352</v>
      </c>
      <c r="R393">
        <v>301</v>
      </c>
      <c r="S393">
        <f t="shared" si="52"/>
        <v>264</v>
      </c>
      <c r="T393">
        <v>226</v>
      </c>
      <c r="U393">
        <f t="shared" si="53"/>
        <v>158</v>
      </c>
      <c r="V393">
        <v>89</v>
      </c>
      <c r="W393">
        <v>382</v>
      </c>
      <c r="X393">
        <v>352</v>
      </c>
      <c r="Y393">
        <v>301</v>
      </c>
      <c r="Z393">
        <f t="shared" si="54"/>
        <v>264</v>
      </c>
      <c r="AA393">
        <v>226</v>
      </c>
      <c r="AB393">
        <f t="shared" si="55"/>
        <v>158</v>
      </c>
      <c r="AC393">
        <v>89</v>
      </c>
    </row>
    <row r="394" spans="1:29" x14ac:dyDescent="0.25">
      <c r="A394" t="s">
        <v>402</v>
      </c>
      <c r="B394">
        <v>444</v>
      </c>
      <c r="C394">
        <v>403</v>
      </c>
      <c r="D394">
        <v>340</v>
      </c>
      <c r="E394">
        <f t="shared" si="48"/>
        <v>294</v>
      </c>
      <c r="F394">
        <v>247</v>
      </c>
      <c r="G394">
        <f t="shared" si="49"/>
        <v>169</v>
      </c>
      <c r="H394">
        <v>91</v>
      </c>
      <c r="I394">
        <v>444</v>
      </c>
      <c r="J394">
        <v>403</v>
      </c>
      <c r="K394">
        <v>340</v>
      </c>
      <c r="L394">
        <f t="shared" si="50"/>
        <v>294</v>
      </c>
      <c r="M394">
        <v>247</v>
      </c>
      <c r="N394">
        <f t="shared" si="51"/>
        <v>169</v>
      </c>
      <c r="O394">
        <v>91</v>
      </c>
      <c r="P394">
        <v>333</v>
      </c>
      <c r="Q394">
        <v>309</v>
      </c>
      <c r="R394">
        <v>266</v>
      </c>
      <c r="S394">
        <f t="shared" si="52"/>
        <v>234</v>
      </c>
      <c r="T394">
        <v>201</v>
      </c>
      <c r="U394">
        <f t="shared" si="53"/>
        <v>140</v>
      </c>
      <c r="V394">
        <v>79</v>
      </c>
      <c r="W394">
        <v>333</v>
      </c>
      <c r="X394">
        <v>309</v>
      </c>
      <c r="Y394">
        <v>266</v>
      </c>
      <c r="Z394">
        <f t="shared" si="54"/>
        <v>234</v>
      </c>
      <c r="AA394">
        <v>201</v>
      </c>
      <c r="AB394">
        <f t="shared" si="55"/>
        <v>140</v>
      </c>
      <c r="AC394">
        <v>79</v>
      </c>
    </row>
    <row r="395" spans="1:29" x14ac:dyDescent="0.25">
      <c r="A395" t="s">
        <v>403</v>
      </c>
      <c r="B395">
        <v>673</v>
      </c>
      <c r="C395">
        <v>600</v>
      </c>
      <c r="D395">
        <v>491</v>
      </c>
      <c r="E395">
        <f t="shared" si="48"/>
        <v>417</v>
      </c>
      <c r="F395">
        <v>342</v>
      </c>
      <c r="G395">
        <f t="shared" si="49"/>
        <v>234</v>
      </c>
      <c r="H395">
        <v>125</v>
      </c>
      <c r="I395">
        <v>673</v>
      </c>
      <c r="J395">
        <v>600</v>
      </c>
      <c r="K395">
        <v>491</v>
      </c>
      <c r="L395">
        <f t="shared" si="50"/>
        <v>417</v>
      </c>
      <c r="M395">
        <v>342</v>
      </c>
      <c r="N395">
        <f t="shared" si="51"/>
        <v>234</v>
      </c>
      <c r="O395">
        <v>125</v>
      </c>
      <c r="P395">
        <v>505</v>
      </c>
      <c r="Q395">
        <v>459</v>
      </c>
      <c r="R395">
        <v>385</v>
      </c>
      <c r="S395">
        <f t="shared" si="52"/>
        <v>332</v>
      </c>
      <c r="T395">
        <v>278</v>
      </c>
      <c r="U395">
        <f t="shared" si="53"/>
        <v>194</v>
      </c>
      <c r="V395">
        <v>109</v>
      </c>
      <c r="W395">
        <v>505</v>
      </c>
      <c r="X395">
        <v>459</v>
      </c>
      <c r="Y395">
        <v>385</v>
      </c>
      <c r="Z395">
        <f t="shared" si="54"/>
        <v>332</v>
      </c>
      <c r="AA395">
        <v>278</v>
      </c>
      <c r="AB395">
        <f t="shared" si="55"/>
        <v>194</v>
      </c>
      <c r="AC395">
        <v>109</v>
      </c>
    </row>
    <row r="396" spans="1:29" x14ac:dyDescent="0.25">
      <c r="A396" t="s">
        <v>404</v>
      </c>
      <c r="B396">
        <v>618</v>
      </c>
      <c r="C396">
        <v>552</v>
      </c>
      <c r="D396">
        <v>455</v>
      </c>
      <c r="E396">
        <f t="shared" si="48"/>
        <v>390</v>
      </c>
      <c r="F396">
        <v>325</v>
      </c>
      <c r="G396">
        <f t="shared" si="49"/>
        <v>222</v>
      </c>
      <c r="H396">
        <v>119</v>
      </c>
      <c r="I396">
        <v>618</v>
      </c>
      <c r="J396">
        <v>552</v>
      </c>
      <c r="K396">
        <v>455</v>
      </c>
      <c r="L396">
        <f t="shared" si="50"/>
        <v>390</v>
      </c>
      <c r="M396">
        <v>325</v>
      </c>
      <c r="N396">
        <f t="shared" si="51"/>
        <v>222</v>
      </c>
      <c r="O396">
        <v>119</v>
      </c>
      <c r="P396">
        <v>463</v>
      </c>
      <c r="Q396">
        <v>423</v>
      </c>
      <c r="R396">
        <v>356</v>
      </c>
      <c r="S396">
        <f t="shared" si="52"/>
        <v>310</v>
      </c>
      <c r="T396">
        <v>264</v>
      </c>
      <c r="U396">
        <f t="shared" si="53"/>
        <v>184</v>
      </c>
      <c r="V396">
        <v>104</v>
      </c>
      <c r="W396">
        <v>463</v>
      </c>
      <c r="X396">
        <v>423</v>
      </c>
      <c r="Y396">
        <v>356</v>
      </c>
      <c r="Z396">
        <f t="shared" si="54"/>
        <v>310</v>
      </c>
      <c r="AA396">
        <v>264</v>
      </c>
      <c r="AB396">
        <f t="shared" si="55"/>
        <v>184</v>
      </c>
      <c r="AC396">
        <v>104</v>
      </c>
    </row>
    <row r="397" spans="1:29" x14ac:dyDescent="0.25">
      <c r="A397" t="s">
        <v>405</v>
      </c>
      <c r="B397">
        <v>562</v>
      </c>
      <c r="C397">
        <v>505</v>
      </c>
      <c r="D397">
        <v>419</v>
      </c>
      <c r="E397">
        <f t="shared" si="48"/>
        <v>360</v>
      </c>
      <c r="F397">
        <v>301</v>
      </c>
      <c r="G397">
        <f t="shared" si="49"/>
        <v>206</v>
      </c>
      <c r="H397">
        <v>111</v>
      </c>
      <c r="I397">
        <v>562</v>
      </c>
      <c r="J397">
        <v>505</v>
      </c>
      <c r="K397">
        <v>419</v>
      </c>
      <c r="L397">
        <f t="shared" si="50"/>
        <v>360</v>
      </c>
      <c r="M397">
        <v>301</v>
      </c>
      <c r="N397">
        <f t="shared" si="51"/>
        <v>206</v>
      </c>
      <c r="O397">
        <v>111</v>
      </c>
      <c r="P397">
        <v>421</v>
      </c>
      <c r="Q397">
        <v>386</v>
      </c>
      <c r="R397">
        <v>328</v>
      </c>
      <c r="S397">
        <f t="shared" si="52"/>
        <v>286</v>
      </c>
      <c r="T397">
        <v>244</v>
      </c>
      <c r="U397">
        <f t="shared" si="53"/>
        <v>170</v>
      </c>
      <c r="V397">
        <v>96</v>
      </c>
      <c r="W397">
        <v>421</v>
      </c>
      <c r="X397">
        <v>386</v>
      </c>
      <c r="Y397">
        <v>328</v>
      </c>
      <c r="Z397">
        <f t="shared" si="54"/>
        <v>286</v>
      </c>
      <c r="AA397">
        <v>244</v>
      </c>
      <c r="AB397">
        <f t="shared" si="55"/>
        <v>170</v>
      </c>
      <c r="AC397">
        <v>96</v>
      </c>
    </row>
    <row r="398" spans="1:29" x14ac:dyDescent="0.25">
      <c r="A398" t="s">
        <v>406</v>
      </c>
      <c r="B398">
        <v>503</v>
      </c>
      <c r="C398">
        <v>455</v>
      </c>
      <c r="D398">
        <v>380</v>
      </c>
      <c r="E398">
        <f t="shared" si="48"/>
        <v>328</v>
      </c>
      <c r="F398">
        <v>276</v>
      </c>
      <c r="G398">
        <f t="shared" si="49"/>
        <v>189</v>
      </c>
      <c r="H398">
        <v>102</v>
      </c>
      <c r="I398">
        <v>503</v>
      </c>
      <c r="J398">
        <v>455</v>
      </c>
      <c r="K398">
        <v>380</v>
      </c>
      <c r="L398">
        <f t="shared" si="50"/>
        <v>328</v>
      </c>
      <c r="M398">
        <v>276</v>
      </c>
      <c r="N398">
        <f t="shared" si="51"/>
        <v>189</v>
      </c>
      <c r="O398">
        <v>102</v>
      </c>
      <c r="P398">
        <v>377</v>
      </c>
      <c r="Q398">
        <v>348</v>
      </c>
      <c r="R398">
        <v>297</v>
      </c>
      <c r="S398">
        <f t="shared" si="52"/>
        <v>261</v>
      </c>
      <c r="T398">
        <v>224</v>
      </c>
      <c r="U398">
        <f t="shared" si="53"/>
        <v>156</v>
      </c>
      <c r="V398">
        <v>88</v>
      </c>
      <c r="W398">
        <v>377</v>
      </c>
      <c r="X398">
        <v>348</v>
      </c>
      <c r="Y398">
        <v>297</v>
      </c>
      <c r="Z398">
        <f t="shared" si="54"/>
        <v>261</v>
      </c>
      <c r="AA398">
        <v>224</v>
      </c>
      <c r="AB398">
        <f t="shared" si="55"/>
        <v>156</v>
      </c>
      <c r="AC398">
        <v>88</v>
      </c>
    </row>
    <row r="399" spans="1:29" x14ac:dyDescent="0.25">
      <c r="A399" t="s">
        <v>407</v>
      </c>
      <c r="B399">
        <v>439</v>
      </c>
      <c r="C399">
        <v>399</v>
      </c>
      <c r="D399">
        <v>336</v>
      </c>
      <c r="E399">
        <f t="shared" si="48"/>
        <v>290</v>
      </c>
      <c r="F399">
        <v>244</v>
      </c>
      <c r="G399">
        <f t="shared" si="49"/>
        <v>167</v>
      </c>
      <c r="H399">
        <v>90</v>
      </c>
      <c r="I399">
        <v>439</v>
      </c>
      <c r="J399">
        <v>399</v>
      </c>
      <c r="K399">
        <v>336</v>
      </c>
      <c r="L399">
        <f t="shared" si="50"/>
        <v>290</v>
      </c>
      <c r="M399">
        <v>244</v>
      </c>
      <c r="N399">
        <f t="shared" si="51"/>
        <v>167</v>
      </c>
      <c r="O399">
        <v>90</v>
      </c>
      <c r="P399">
        <v>329</v>
      </c>
      <c r="Q399">
        <v>305</v>
      </c>
      <c r="R399">
        <v>263</v>
      </c>
      <c r="S399">
        <f t="shared" si="52"/>
        <v>231</v>
      </c>
      <c r="T399">
        <v>199</v>
      </c>
      <c r="U399">
        <f t="shared" si="53"/>
        <v>139</v>
      </c>
      <c r="V399">
        <v>78</v>
      </c>
      <c r="W399">
        <v>329</v>
      </c>
      <c r="X399">
        <v>305</v>
      </c>
      <c r="Y399">
        <v>263</v>
      </c>
      <c r="Z399">
        <f t="shared" si="54"/>
        <v>231</v>
      </c>
      <c r="AA399">
        <v>199</v>
      </c>
      <c r="AB399">
        <f t="shared" si="55"/>
        <v>139</v>
      </c>
      <c r="AC399">
        <v>78</v>
      </c>
    </row>
    <row r="400" spans="1:29" x14ac:dyDescent="0.25">
      <c r="A400" t="s">
        <v>408</v>
      </c>
      <c r="B400">
        <v>609</v>
      </c>
      <c r="C400">
        <v>544</v>
      </c>
      <c r="D400">
        <v>448</v>
      </c>
      <c r="E400">
        <f t="shared" si="48"/>
        <v>383</v>
      </c>
      <c r="F400">
        <v>318</v>
      </c>
      <c r="G400">
        <f t="shared" si="49"/>
        <v>218</v>
      </c>
      <c r="H400">
        <v>117</v>
      </c>
      <c r="I400">
        <v>609</v>
      </c>
      <c r="J400">
        <v>544</v>
      </c>
      <c r="K400">
        <v>448</v>
      </c>
      <c r="L400">
        <f t="shared" si="50"/>
        <v>383</v>
      </c>
      <c r="M400">
        <v>318</v>
      </c>
      <c r="N400">
        <f t="shared" si="51"/>
        <v>218</v>
      </c>
      <c r="O400">
        <v>117</v>
      </c>
      <c r="P400">
        <v>456</v>
      </c>
      <c r="Q400">
        <v>416</v>
      </c>
      <c r="R400">
        <v>351</v>
      </c>
      <c r="S400">
        <f t="shared" si="52"/>
        <v>305</v>
      </c>
      <c r="T400">
        <v>259</v>
      </c>
      <c r="U400">
        <f t="shared" si="53"/>
        <v>181</v>
      </c>
      <c r="V400">
        <v>102</v>
      </c>
      <c r="W400">
        <v>456</v>
      </c>
      <c r="X400">
        <v>416</v>
      </c>
      <c r="Y400">
        <v>351</v>
      </c>
      <c r="Z400">
        <f t="shared" si="54"/>
        <v>305</v>
      </c>
      <c r="AA400">
        <v>259</v>
      </c>
      <c r="AB400">
        <f t="shared" si="55"/>
        <v>181</v>
      </c>
      <c r="AC400">
        <v>102</v>
      </c>
    </row>
    <row r="401" spans="1:29" x14ac:dyDescent="0.25">
      <c r="A401" t="s">
        <v>409</v>
      </c>
      <c r="B401">
        <v>552</v>
      </c>
      <c r="C401">
        <v>496</v>
      </c>
      <c r="D401">
        <v>411</v>
      </c>
      <c r="E401">
        <f t="shared" si="48"/>
        <v>353</v>
      </c>
      <c r="F401">
        <v>295</v>
      </c>
      <c r="G401">
        <f t="shared" si="49"/>
        <v>202</v>
      </c>
      <c r="H401">
        <v>109</v>
      </c>
      <c r="I401">
        <v>552</v>
      </c>
      <c r="J401">
        <v>496</v>
      </c>
      <c r="K401">
        <v>411</v>
      </c>
      <c r="L401">
        <f t="shared" si="50"/>
        <v>353</v>
      </c>
      <c r="M401">
        <v>295</v>
      </c>
      <c r="N401">
        <f t="shared" si="51"/>
        <v>202</v>
      </c>
      <c r="O401">
        <v>109</v>
      </c>
      <c r="P401">
        <v>414</v>
      </c>
      <c r="Q401">
        <v>379</v>
      </c>
      <c r="R401">
        <v>322</v>
      </c>
      <c r="S401">
        <f t="shared" si="52"/>
        <v>281</v>
      </c>
      <c r="T401">
        <v>239</v>
      </c>
      <c r="U401">
        <f t="shared" si="53"/>
        <v>167</v>
      </c>
      <c r="V401">
        <v>95</v>
      </c>
      <c r="W401">
        <v>414</v>
      </c>
      <c r="X401">
        <v>379</v>
      </c>
      <c r="Y401">
        <v>322</v>
      </c>
      <c r="Z401">
        <f t="shared" si="54"/>
        <v>281</v>
      </c>
      <c r="AA401">
        <v>239</v>
      </c>
      <c r="AB401">
        <f t="shared" si="55"/>
        <v>167</v>
      </c>
      <c r="AC401">
        <v>95</v>
      </c>
    </row>
    <row r="402" spans="1:29" x14ac:dyDescent="0.25">
      <c r="A402" t="s">
        <v>410</v>
      </c>
      <c r="B402">
        <v>494</v>
      </c>
      <c r="C402">
        <v>447</v>
      </c>
      <c r="D402">
        <v>372</v>
      </c>
      <c r="E402">
        <f t="shared" si="48"/>
        <v>321</v>
      </c>
      <c r="F402">
        <v>269</v>
      </c>
      <c r="G402">
        <f t="shared" si="49"/>
        <v>185</v>
      </c>
      <c r="H402">
        <v>101</v>
      </c>
      <c r="I402">
        <v>494</v>
      </c>
      <c r="J402">
        <v>447</v>
      </c>
      <c r="K402">
        <v>372</v>
      </c>
      <c r="L402">
        <f t="shared" si="50"/>
        <v>321</v>
      </c>
      <c r="M402">
        <v>269</v>
      </c>
      <c r="N402">
        <f t="shared" si="51"/>
        <v>185</v>
      </c>
      <c r="O402">
        <v>101</v>
      </c>
      <c r="P402">
        <v>370</v>
      </c>
      <c r="Q402">
        <v>342</v>
      </c>
      <c r="R402">
        <v>291</v>
      </c>
      <c r="S402">
        <f t="shared" si="52"/>
        <v>255</v>
      </c>
      <c r="T402">
        <v>219</v>
      </c>
      <c r="U402">
        <f t="shared" si="53"/>
        <v>154</v>
      </c>
      <c r="V402">
        <v>88</v>
      </c>
      <c r="W402">
        <v>370</v>
      </c>
      <c r="X402">
        <v>342</v>
      </c>
      <c r="Y402">
        <v>291</v>
      </c>
      <c r="Z402">
        <f t="shared" si="54"/>
        <v>255</v>
      </c>
      <c r="AA402">
        <v>219</v>
      </c>
      <c r="AB402">
        <f t="shared" si="55"/>
        <v>154</v>
      </c>
      <c r="AC402">
        <v>88</v>
      </c>
    </row>
    <row r="403" spans="1:29" x14ac:dyDescent="0.25">
      <c r="A403" t="s">
        <v>411</v>
      </c>
      <c r="B403">
        <v>433</v>
      </c>
      <c r="C403">
        <v>393</v>
      </c>
      <c r="D403">
        <v>331</v>
      </c>
      <c r="E403">
        <f t="shared" si="48"/>
        <v>287</v>
      </c>
      <c r="F403">
        <v>242</v>
      </c>
      <c r="G403">
        <f t="shared" si="49"/>
        <v>166</v>
      </c>
      <c r="H403">
        <v>90</v>
      </c>
      <c r="I403">
        <v>433</v>
      </c>
      <c r="J403">
        <v>393</v>
      </c>
      <c r="K403">
        <v>331</v>
      </c>
      <c r="L403">
        <f t="shared" si="50"/>
        <v>287</v>
      </c>
      <c r="M403">
        <v>242</v>
      </c>
      <c r="N403">
        <f t="shared" si="51"/>
        <v>166</v>
      </c>
      <c r="O403">
        <v>90</v>
      </c>
      <c r="P403">
        <v>325</v>
      </c>
      <c r="Q403">
        <v>301</v>
      </c>
      <c r="R403">
        <v>259</v>
      </c>
      <c r="S403">
        <f t="shared" si="52"/>
        <v>228</v>
      </c>
      <c r="T403">
        <v>197</v>
      </c>
      <c r="U403">
        <f t="shared" si="53"/>
        <v>138</v>
      </c>
      <c r="V403">
        <v>78</v>
      </c>
      <c r="W403">
        <v>325</v>
      </c>
      <c r="X403">
        <v>301</v>
      </c>
      <c r="Y403">
        <v>259</v>
      </c>
      <c r="Z403">
        <f t="shared" si="54"/>
        <v>228</v>
      </c>
      <c r="AA403">
        <v>197</v>
      </c>
      <c r="AB403">
        <f t="shared" si="55"/>
        <v>138</v>
      </c>
      <c r="AC403">
        <v>78</v>
      </c>
    </row>
    <row r="404" spans="1:29" x14ac:dyDescent="0.25">
      <c r="A404" t="s">
        <v>412</v>
      </c>
      <c r="B404">
        <v>541</v>
      </c>
      <c r="C404">
        <v>486</v>
      </c>
      <c r="D404">
        <v>403</v>
      </c>
      <c r="E404">
        <f t="shared" si="48"/>
        <v>346</v>
      </c>
      <c r="F404">
        <v>288</v>
      </c>
      <c r="G404">
        <f t="shared" si="49"/>
        <v>198</v>
      </c>
      <c r="H404">
        <v>107</v>
      </c>
      <c r="I404">
        <v>541</v>
      </c>
      <c r="J404">
        <v>486</v>
      </c>
      <c r="K404">
        <v>403</v>
      </c>
      <c r="L404">
        <f t="shared" si="50"/>
        <v>346</v>
      </c>
      <c r="M404">
        <v>288</v>
      </c>
      <c r="N404">
        <f t="shared" si="51"/>
        <v>198</v>
      </c>
      <c r="O404">
        <v>107</v>
      </c>
      <c r="P404">
        <v>406</v>
      </c>
      <c r="Q404">
        <v>372</v>
      </c>
      <c r="R404">
        <v>315</v>
      </c>
      <c r="S404">
        <f t="shared" si="52"/>
        <v>275</v>
      </c>
      <c r="T404">
        <v>234</v>
      </c>
      <c r="U404">
        <f t="shared" si="53"/>
        <v>164</v>
      </c>
      <c r="V404">
        <v>93</v>
      </c>
      <c r="W404">
        <v>406</v>
      </c>
      <c r="X404">
        <v>372</v>
      </c>
      <c r="Y404">
        <v>315</v>
      </c>
      <c r="Z404">
        <f t="shared" si="54"/>
        <v>275</v>
      </c>
      <c r="AA404">
        <v>234</v>
      </c>
      <c r="AB404">
        <f t="shared" si="55"/>
        <v>164</v>
      </c>
      <c r="AC404">
        <v>93</v>
      </c>
    </row>
    <row r="405" spans="1:29" x14ac:dyDescent="0.25">
      <c r="A405" t="s">
        <v>413</v>
      </c>
      <c r="B405">
        <v>484</v>
      </c>
      <c r="C405">
        <v>436</v>
      </c>
      <c r="D405">
        <v>364</v>
      </c>
      <c r="E405">
        <f t="shared" si="48"/>
        <v>314</v>
      </c>
      <c r="F405">
        <v>263</v>
      </c>
      <c r="G405">
        <f t="shared" si="49"/>
        <v>181</v>
      </c>
      <c r="H405">
        <v>98</v>
      </c>
      <c r="I405">
        <v>484</v>
      </c>
      <c r="J405">
        <v>436</v>
      </c>
      <c r="K405">
        <v>364</v>
      </c>
      <c r="L405">
        <f t="shared" si="50"/>
        <v>314</v>
      </c>
      <c r="M405">
        <v>263</v>
      </c>
      <c r="N405">
        <f t="shared" si="51"/>
        <v>181</v>
      </c>
      <c r="O405">
        <v>98</v>
      </c>
      <c r="P405">
        <v>363</v>
      </c>
      <c r="Q405">
        <v>334</v>
      </c>
      <c r="R405">
        <v>285</v>
      </c>
      <c r="S405">
        <f t="shared" si="52"/>
        <v>250</v>
      </c>
      <c r="T405">
        <v>214</v>
      </c>
      <c r="U405">
        <f t="shared" si="53"/>
        <v>150</v>
      </c>
      <c r="V405">
        <v>86</v>
      </c>
      <c r="W405">
        <v>363</v>
      </c>
      <c r="X405">
        <v>334</v>
      </c>
      <c r="Y405">
        <v>285</v>
      </c>
      <c r="Z405">
        <f t="shared" si="54"/>
        <v>250</v>
      </c>
      <c r="AA405">
        <v>214</v>
      </c>
      <c r="AB405">
        <f t="shared" si="55"/>
        <v>150</v>
      </c>
      <c r="AC405">
        <v>86</v>
      </c>
    </row>
    <row r="406" spans="1:29" x14ac:dyDescent="0.25">
      <c r="A406" t="s">
        <v>414</v>
      </c>
      <c r="B406">
        <v>425</v>
      </c>
      <c r="C406">
        <v>386</v>
      </c>
      <c r="D406">
        <v>325</v>
      </c>
      <c r="E406">
        <f t="shared" si="48"/>
        <v>281</v>
      </c>
      <c r="F406">
        <v>237</v>
      </c>
      <c r="G406">
        <f t="shared" si="49"/>
        <v>163</v>
      </c>
      <c r="H406">
        <v>89</v>
      </c>
      <c r="I406">
        <v>425</v>
      </c>
      <c r="J406">
        <v>386</v>
      </c>
      <c r="K406">
        <v>325</v>
      </c>
      <c r="L406">
        <f t="shared" si="50"/>
        <v>281</v>
      </c>
      <c r="M406">
        <v>237</v>
      </c>
      <c r="N406">
        <f t="shared" si="51"/>
        <v>163</v>
      </c>
      <c r="O406">
        <v>89</v>
      </c>
      <c r="P406">
        <v>318</v>
      </c>
      <c r="Q406">
        <v>295</v>
      </c>
      <c r="R406">
        <v>254</v>
      </c>
      <c r="S406">
        <f t="shared" si="52"/>
        <v>224</v>
      </c>
      <c r="T406">
        <v>193</v>
      </c>
      <c r="U406">
        <f t="shared" si="53"/>
        <v>136</v>
      </c>
      <c r="V406">
        <v>78</v>
      </c>
      <c r="W406">
        <v>318</v>
      </c>
      <c r="X406">
        <v>295</v>
      </c>
      <c r="Y406">
        <v>254</v>
      </c>
      <c r="Z406">
        <f t="shared" si="54"/>
        <v>224</v>
      </c>
      <c r="AA406">
        <v>193</v>
      </c>
      <c r="AB406">
        <f t="shared" si="55"/>
        <v>136</v>
      </c>
      <c r="AC406">
        <v>78</v>
      </c>
    </row>
    <row r="407" spans="1:29" x14ac:dyDescent="0.25">
      <c r="A407" t="s">
        <v>415</v>
      </c>
      <c r="B407">
        <v>474</v>
      </c>
      <c r="C407">
        <v>427</v>
      </c>
      <c r="D407">
        <v>355</v>
      </c>
      <c r="E407">
        <f t="shared" si="48"/>
        <v>306</v>
      </c>
      <c r="F407">
        <v>257</v>
      </c>
      <c r="G407">
        <f t="shared" si="49"/>
        <v>177</v>
      </c>
      <c r="H407">
        <v>96</v>
      </c>
      <c r="I407">
        <v>474</v>
      </c>
      <c r="J407">
        <v>427</v>
      </c>
      <c r="K407">
        <v>355</v>
      </c>
      <c r="L407">
        <f t="shared" si="50"/>
        <v>306</v>
      </c>
      <c r="M407">
        <v>257</v>
      </c>
      <c r="N407">
        <f t="shared" si="51"/>
        <v>177</v>
      </c>
      <c r="O407">
        <v>96</v>
      </c>
      <c r="P407">
        <v>355</v>
      </c>
      <c r="Q407">
        <v>327</v>
      </c>
      <c r="R407">
        <v>278</v>
      </c>
      <c r="S407">
        <f t="shared" si="52"/>
        <v>244</v>
      </c>
      <c r="T407">
        <v>209</v>
      </c>
      <c r="U407">
        <f t="shared" si="53"/>
        <v>146</v>
      </c>
      <c r="V407">
        <v>83</v>
      </c>
      <c r="W407">
        <v>355</v>
      </c>
      <c r="X407">
        <v>327</v>
      </c>
      <c r="Y407">
        <v>278</v>
      </c>
      <c r="Z407">
        <f t="shared" si="54"/>
        <v>244</v>
      </c>
      <c r="AA407">
        <v>209</v>
      </c>
      <c r="AB407">
        <f t="shared" si="55"/>
        <v>146</v>
      </c>
      <c r="AC407">
        <v>83</v>
      </c>
    </row>
    <row r="408" spans="1:29" x14ac:dyDescent="0.25">
      <c r="A408" t="s">
        <v>416</v>
      </c>
      <c r="B408">
        <v>415</v>
      </c>
      <c r="C408">
        <v>376</v>
      </c>
      <c r="D408">
        <v>316</v>
      </c>
      <c r="E408">
        <f t="shared" si="48"/>
        <v>274</v>
      </c>
      <c r="F408">
        <v>231</v>
      </c>
      <c r="G408">
        <f t="shared" si="49"/>
        <v>159</v>
      </c>
      <c r="H408">
        <v>87</v>
      </c>
      <c r="I408">
        <v>415</v>
      </c>
      <c r="J408">
        <v>376</v>
      </c>
      <c r="K408">
        <v>316</v>
      </c>
      <c r="L408">
        <f t="shared" si="50"/>
        <v>274</v>
      </c>
      <c r="M408">
        <v>231</v>
      </c>
      <c r="N408">
        <f t="shared" si="51"/>
        <v>159</v>
      </c>
      <c r="O408">
        <v>87</v>
      </c>
      <c r="P408">
        <v>311</v>
      </c>
      <c r="Q408">
        <v>288</v>
      </c>
      <c r="R408">
        <v>248</v>
      </c>
      <c r="S408">
        <f t="shared" si="52"/>
        <v>218</v>
      </c>
      <c r="T408">
        <v>187</v>
      </c>
      <c r="U408">
        <f t="shared" si="53"/>
        <v>132</v>
      </c>
      <c r="V408">
        <v>76</v>
      </c>
      <c r="W408">
        <v>311</v>
      </c>
      <c r="X408">
        <v>288</v>
      </c>
      <c r="Y408">
        <v>248</v>
      </c>
      <c r="Z408">
        <f t="shared" si="54"/>
        <v>218</v>
      </c>
      <c r="AA408">
        <v>187</v>
      </c>
      <c r="AB408">
        <f t="shared" si="55"/>
        <v>132</v>
      </c>
      <c r="AC408">
        <v>76</v>
      </c>
    </row>
    <row r="409" spans="1:29" x14ac:dyDescent="0.25">
      <c r="A409" t="s">
        <v>417</v>
      </c>
      <c r="B409">
        <v>405</v>
      </c>
      <c r="C409">
        <v>366</v>
      </c>
      <c r="D409">
        <v>306</v>
      </c>
      <c r="E409">
        <f t="shared" si="48"/>
        <v>265</v>
      </c>
      <c r="F409">
        <v>224</v>
      </c>
      <c r="G409">
        <f t="shared" si="49"/>
        <v>154</v>
      </c>
      <c r="H409">
        <v>84</v>
      </c>
      <c r="I409">
        <v>405</v>
      </c>
      <c r="J409">
        <v>366</v>
      </c>
      <c r="K409">
        <v>306</v>
      </c>
      <c r="L409">
        <f t="shared" si="50"/>
        <v>265</v>
      </c>
      <c r="M409">
        <v>224</v>
      </c>
      <c r="N409">
        <f t="shared" si="51"/>
        <v>154</v>
      </c>
      <c r="O409">
        <v>84</v>
      </c>
      <c r="P409">
        <v>303</v>
      </c>
      <c r="Q409">
        <v>280</v>
      </c>
      <c r="R409">
        <v>240</v>
      </c>
      <c r="S409">
        <f t="shared" si="52"/>
        <v>211</v>
      </c>
      <c r="T409">
        <v>182</v>
      </c>
      <c r="U409">
        <f t="shared" si="53"/>
        <v>128</v>
      </c>
      <c r="V409">
        <v>73</v>
      </c>
      <c r="W409">
        <v>303</v>
      </c>
      <c r="X409">
        <v>280</v>
      </c>
      <c r="Y409">
        <v>240</v>
      </c>
      <c r="Z409">
        <f t="shared" si="54"/>
        <v>211</v>
      </c>
      <c r="AA409">
        <v>182</v>
      </c>
      <c r="AB409">
        <f t="shared" si="55"/>
        <v>128</v>
      </c>
      <c r="AC409">
        <v>73</v>
      </c>
    </row>
    <row r="410" spans="1:29" x14ac:dyDescent="0.25">
      <c r="A410" t="s">
        <v>418</v>
      </c>
      <c r="B410">
        <v>1938</v>
      </c>
      <c r="C410">
        <v>1681</v>
      </c>
      <c r="D410">
        <v>1355</v>
      </c>
      <c r="E410">
        <f t="shared" si="48"/>
        <v>1155</v>
      </c>
      <c r="F410">
        <v>955</v>
      </c>
      <c r="G410">
        <f t="shared" si="49"/>
        <v>665</v>
      </c>
      <c r="H410">
        <v>374</v>
      </c>
      <c r="I410">
        <v>1258</v>
      </c>
      <c r="J410">
        <v>1085</v>
      </c>
      <c r="K410">
        <v>870</v>
      </c>
      <c r="L410">
        <f t="shared" si="50"/>
        <v>740</v>
      </c>
      <c r="M410">
        <v>610</v>
      </c>
      <c r="N410">
        <f t="shared" si="51"/>
        <v>424</v>
      </c>
      <c r="O410">
        <v>237</v>
      </c>
      <c r="P410">
        <v>1453</v>
      </c>
      <c r="Q410">
        <v>1286</v>
      </c>
      <c r="R410">
        <v>1060</v>
      </c>
      <c r="S410">
        <f t="shared" si="52"/>
        <v>918</v>
      </c>
      <c r="T410">
        <v>776</v>
      </c>
      <c r="U410">
        <f t="shared" si="53"/>
        <v>551</v>
      </c>
      <c r="V410">
        <v>326</v>
      </c>
      <c r="W410">
        <v>943</v>
      </c>
      <c r="X410">
        <v>830</v>
      </c>
      <c r="Y410">
        <v>681</v>
      </c>
      <c r="Z410">
        <f t="shared" si="54"/>
        <v>589</v>
      </c>
      <c r="AA410">
        <v>496</v>
      </c>
      <c r="AB410">
        <f t="shared" si="55"/>
        <v>351</v>
      </c>
      <c r="AC410">
        <v>206</v>
      </c>
    </row>
    <row r="411" spans="1:29" x14ac:dyDescent="0.25">
      <c r="A411" t="s">
        <v>419</v>
      </c>
      <c r="B411">
        <v>1828</v>
      </c>
      <c r="C411">
        <v>1591</v>
      </c>
      <c r="D411">
        <v>1287</v>
      </c>
      <c r="E411">
        <f t="shared" si="48"/>
        <v>1098</v>
      </c>
      <c r="F411">
        <v>909</v>
      </c>
      <c r="G411">
        <f t="shared" si="49"/>
        <v>632</v>
      </c>
      <c r="H411">
        <v>355</v>
      </c>
      <c r="I411">
        <v>1210</v>
      </c>
      <c r="J411">
        <v>1045</v>
      </c>
      <c r="K411">
        <v>839</v>
      </c>
      <c r="L411">
        <f t="shared" si="50"/>
        <v>714</v>
      </c>
      <c r="M411">
        <v>589</v>
      </c>
      <c r="N411">
        <f t="shared" si="51"/>
        <v>409</v>
      </c>
      <c r="O411">
        <v>228</v>
      </c>
      <c r="P411">
        <v>1371</v>
      </c>
      <c r="Q411">
        <v>1217</v>
      </c>
      <c r="R411">
        <v>1008</v>
      </c>
      <c r="S411">
        <f t="shared" si="52"/>
        <v>873</v>
      </c>
      <c r="T411">
        <v>738</v>
      </c>
      <c r="U411">
        <f t="shared" si="53"/>
        <v>524</v>
      </c>
      <c r="V411">
        <v>310</v>
      </c>
      <c r="W411">
        <v>908</v>
      </c>
      <c r="X411">
        <v>799</v>
      </c>
      <c r="Y411">
        <v>657</v>
      </c>
      <c r="Z411">
        <f t="shared" si="54"/>
        <v>568</v>
      </c>
      <c r="AA411">
        <v>478</v>
      </c>
      <c r="AB411">
        <f t="shared" si="55"/>
        <v>339</v>
      </c>
      <c r="AC411">
        <v>199</v>
      </c>
    </row>
    <row r="412" spans="1:29" x14ac:dyDescent="0.25">
      <c r="A412" t="s">
        <v>420</v>
      </c>
      <c r="B412">
        <v>1716</v>
      </c>
      <c r="C412">
        <v>1500</v>
      </c>
      <c r="D412">
        <v>1217</v>
      </c>
      <c r="E412">
        <f t="shared" si="48"/>
        <v>1039</v>
      </c>
      <c r="F412">
        <v>861</v>
      </c>
      <c r="G412">
        <f t="shared" si="49"/>
        <v>598</v>
      </c>
      <c r="H412">
        <v>335</v>
      </c>
      <c r="I412">
        <v>1162</v>
      </c>
      <c r="J412">
        <v>1005</v>
      </c>
      <c r="K412">
        <v>809</v>
      </c>
      <c r="L412">
        <f t="shared" si="50"/>
        <v>688</v>
      </c>
      <c r="M412">
        <v>566</v>
      </c>
      <c r="N412">
        <f t="shared" si="51"/>
        <v>393</v>
      </c>
      <c r="O412">
        <v>219</v>
      </c>
      <c r="P412">
        <v>1287</v>
      </c>
      <c r="Q412">
        <v>1147</v>
      </c>
      <c r="R412">
        <v>953</v>
      </c>
      <c r="S412">
        <f t="shared" si="52"/>
        <v>827</v>
      </c>
      <c r="T412">
        <v>700</v>
      </c>
      <c r="U412">
        <f t="shared" si="53"/>
        <v>496</v>
      </c>
      <c r="V412">
        <v>292</v>
      </c>
      <c r="W412">
        <v>871</v>
      </c>
      <c r="X412">
        <v>769</v>
      </c>
      <c r="Y412">
        <v>634</v>
      </c>
      <c r="Z412">
        <f t="shared" si="54"/>
        <v>548</v>
      </c>
      <c r="AA412">
        <v>461</v>
      </c>
      <c r="AB412">
        <f t="shared" si="55"/>
        <v>326</v>
      </c>
      <c r="AC412">
        <v>191</v>
      </c>
    </row>
    <row r="413" spans="1:29" x14ac:dyDescent="0.25">
      <c r="A413" t="s">
        <v>421</v>
      </c>
      <c r="B413">
        <v>1600</v>
      </c>
      <c r="C413">
        <v>1404</v>
      </c>
      <c r="D413">
        <v>1143</v>
      </c>
      <c r="E413">
        <f t="shared" si="48"/>
        <v>977</v>
      </c>
      <c r="F413">
        <v>811</v>
      </c>
      <c r="G413">
        <f t="shared" si="49"/>
        <v>563</v>
      </c>
      <c r="H413">
        <v>315</v>
      </c>
      <c r="I413">
        <v>1114</v>
      </c>
      <c r="J413">
        <v>965</v>
      </c>
      <c r="K413">
        <v>778</v>
      </c>
      <c r="L413">
        <f t="shared" si="50"/>
        <v>662</v>
      </c>
      <c r="M413">
        <v>545</v>
      </c>
      <c r="N413">
        <f t="shared" si="51"/>
        <v>377</v>
      </c>
      <c r="O413">
        <v>209</v>
      </c>
      <c r="P413">
        <v>1200</v>
      </c>
      <c r="Q413">
        <v>1074</v>
      </c>
      <c r="R413">
        <v>895</v>
      </c>
      <c r="S413">
        <f t="shared" si="52"/>
        <v>777</v>
      </c>
      <c r="T413">
        <v>659</v>
      </c>
      <c r="U413">
        <f t="shared" si="53"/>
        <v>467</v>
      </c>
      <c r="V413">
        <v>274</v>
      </c>
      <c r="W413">
        <v>835</v>
      </c>
      <c r="X413">
        <v>738</v>
      </c>
      <c r="Y413">
        <v>609</v>
      </c>
      <c r="Z413">
        <f t="shared" si="54"/>
        <v>526</v>
      </c>
      <c r="AA413">
        <v>443</v>
      </c>
      <c r="AB413">
        <f t="shared" si="55"/>
        <v>313</v>
      </c>
      <c r="AC413">
        <v>182</v>
      </c>
    </row>
    <row r="414" spans="1:29" x14ac:dyDescent="0.25">
      <c r="A414" t="s">
        <v>422</v>
      </c>
      <c r="B414">
        <v>1481</v>
      </c>
      <c r="C414">
        <v>1305</v>
      </c>
      <c r="D414">
        <v>1066</v>
      </c>
      <c r="E414">
        <f t="shared" si="48"/>
        <v>912</v>
      </c>
      <c r="F414">
        <v>757</v>
      </c>
      <c r="G414">
        <f t="shared" si="49"/>
        <v>525</v>
      </c>
      <c r="H414">
        <v>293</v>
      </c>
      <c r="I414">
        <v>1065</v>
      </c>
      <c r="J414">
        <v>927</v>
      </c>
      <c r="K414">
        <v>746</v>
      </c>
      <c r="L414">
        <f t="shared" si="50"/>
        <v>635</v>
      </c>
      <c r="M414">
        <v>523</v>
      </c>
      <c r="N414">
        <f t="shared" si="51"/>
        <v>362</v>
      </c>
      <c r="O414">
        <v>200</v>
      </c>
      <c r="P414">
        <v>1110</v>
      </c>
      <c r="Q414">
        <v>998</v>
      </c>
      <c r="R414">
        <v>835</v>
      </c>
      <c r="S414">
        <f t="shared" si="52"/>
        <v>725</v>
      </c>
      <c r="T414">
        <v>615</v>
      </c>
      <c r="U414">
        <f t="shared" si="53"/>
        <v>435</v>
      </c>
      <c r="V414">
        <v>255</v>
      </c>
      <c r="W414">
        <v>799</v>
      </c>
      <c r="X414">
        <v>709</v>
      </c>
      <c r="Y414">
        <v>584</v>
      </c>
      <c r="Z414">
        <f t="shared" si="54"/>
        <v>505</v>
      </c>
      <c r="AA414">
        <v>425</v>
      </c>
      <c r="AB414">
        <f t="shared" si="55"/>
        <v>300</v>
      </c>
      <c r="AC414">
        <v>174</v>
      </c>
    </row>
    <row r="415" spans="1:29" x14ac:dyDescent="0.25">
      <c r="A415" t="s">
        <v>423</v>
      </c>
      <c r="B415">
        <v>1353</v>
      </c>
      <c r="C415">
        <v>1198</v>
      </c>
      <c r="D415">
        <v>983</v>
      </c>
      <c r="E415">
        <f t="shared" si="48"/>
        <v>841</v>
      </c>
      <c r="F415">
        <v>699</v>
      </c>
      <c r="G415">
        <f t="shared" si="49"/>
        <v>485</v>
      </c>
      <c r="H415">
        <v>270</v>
      </c>
      <c r="I415">
        <v>1016</v>
      </c>
      <c r="J415">
        <v>886</v>
      </c>
      <c r="K415">
        <v>714</v>
      </c>
      <c r="L415">
        <f t="shared" si="50"/>
        <v>607</v>
      </c>
      <c r="M415">
        <v>500</v>
      </c>
      <c r="N415">
        <f t="shared" si="51"/>
        <v>345</v>
      </c>
      <c r="O415">
        <v>190</v>
      </c>
      <c r="P415">
        <v>1015</v>
      </c>
      <c r="Q415">
        <v>917</v>
      </c>
      <c r="R415">
        <v>770</v>
      </c>
      <c r="S415">
        <f t="shared" si="52"/>
        <v>669</v>
      </c>
      <c r="T415">
        <v>568</v>
      </c>
      <c r="U415">
        <f t="shared" si="53"/>
        <v>402</v>
      </c>
      <c r="V415">
        <v>235</v>
      </c>
      <c r="W415">
        <v>762</v>
      </c>
      <c r="X415">
        <v>678</v>
      </c>
      <c r="Y415">
        <v>559</v>
      </c>
      <c r="Z415">
        <f t="shared" si="54"/>
        <v>483</v>
      </c>
      <c r="AA415">
        <v>406</v>
      </c>
      <c r="AB415">
        <f t="shared" si="55"/>
        <v>286</v>
      </c>
      <c r="AC415">
        <v>165</v>
      </c>
    </row>
    <row r="416" spans="1:29" x14ac:dyDescent="0.25">
      <c r="A416" t="s">
        <v>424</v>
      </c>
      <c r="B416">
        <v>1217</v>
      </c>
      <c r="C416">
        <v>1082</v>
      </c>
      <c r="D416">
        <v>892</v>
      </c>
      <c r="E416">
        <f t="shared" si="48"/>
        <v>765</v>
      </c>
      <c r="F416">
        <v>637</v>
      </c>
      <c r="G416">
        <f t="shared" si="49"/>
        <v>442</v>
      </c>
      <c r="H416">
        <v>246</v>
      </c>
      <c r="I416">
        <v>966</v>
      </c>
      <c r="J416">
        <v>843</v>
      </c>
      <c r="K416">
        <v>681</v>
      </c>
      <c r="L416">
        <f t="shared" si="50"/>
        <v>579</v>
      </c>
      <c r="M416">
        <v>476</v>
      </c>
      <c r="N416">
        <f t="shared" si="51"/>
        <v>329</v>
      </c>
      <c r="O416">
        <v>181</v>
      </c>
      <c r="P416">
        <v>912</v>
      </c>
      <c r="Q416">
        <v>828</v>
      </c>
      <c r="R416">
        <v>698</v>
      </c>
      <c r="S416">
        <f t="shared" si="52"/>
        <v>608</v>
      </c>
      <c r="T416">
        <v>517</v>
      </c>
      <c r="U416">
        <f t="shared" si="53"/>
        <v>366</v>
      </c>
      <c r="V416">
        <v>214</v>
      </c>
      <c r="W416">
        <v>724</v>
      </c>
      <c r="X416">
        <v>645</v>
      </c>
      <c r="Y416">
        <v>533</v>
      </c>
      <c r="Z416">
        <f t="shared" si="54"/>
        <v>460</v>
      </c>
      <c r="AA416">
        <v>387</v>
      </c>
      <c r="AB416">
        <f t="shared" si="55"/>
        <v>272</v>
      </c>
      <c r="AC416">
        <v>157</v>
      </c>
    </row>
    <row r="417" spans="1:29" x14ac:dyDescent="0.25">
      <c r="A417" t="s">
        <v>425</v>
      </c>
      <c r="B417">
        <v>1828</v>
      </c>
      <c r="C417">
        <v>1588</v>
      </c>
      <c r="D417">
        <v>1282</v>
      </c>
      <c r="E417">
        <f t="shared" si="48"/>
        <v>1093</v>
      </c>
      <c r="F417">
        <v>904</v>
      </c>
      <c r="G417">
        <f t="shared" si="49"/>
        <v>628</v>
      </c>
      <c r="H417">
        <v>352</v>
      </c>
      <c r="I417">
        <v>1210</v>
      </c>
      <c r="J417">
        <v>1043</v>
      </c>
      <c r="K417">
        <v>836</v>
      </c>
      <c r="L417">
        <f t="shared" si="50"/>
        <v>711</v>
      </c>
      <c r="M417">
        <v>586</v>
      </c>
      <c r="N417">
        <f t="shared" si="51"/>
        <v>406</v>
      </c>
      <c r="O417">
        <v>226</v>
      </c>
      <c r="P417">
        <v>1370</v>
      </c>
      <c r="Q417">
        <v>1215</v>
      </c>
      <c r="R417">
        <v>1004</v>
      </c>
      <c r="S417">
        <f t="shared" si="52"/>
        <v>869</v>
      </c>
      <c r="T417">
        <v>734</v>
      </c>
      <c r="U417">
        <f t="shared" si="53"/>
        <v>521</v>
      </c>
      <c r="V417">
        <v>307</v>
      </c>
      <c r="W417">
        <v>907</v>
      </c>
      <c r="X417">
        <v>798</v>
      </c>
      <c r="Y417">
        <v>654</v>
      </c>
      <c r="Z417">
        <f t="shared" si="54"/>
        <v>565</v>
      </c>
      <c r="AA417">
        <v>475</v>
      </c>
      <c r="AB417">
        <f t="shared" si="55"/>
        <v>336</v>
      </c>
      <c r="AC417">
        <v>197</v>
      </c>
    </row>
    <row r="418" spans="1:29" x14ac:dyDescent="0.25">
      <c r="A418" t="s">
        <v>426</v>
      </c>
      <c r="B418">
        <v>1714</v>
      </c>
      <c r="C418">
        <v>1495</v>
      </c>
      <c r="D418">
        <v>1211</v>
      </c>
      <c r="E418">
        <f t="shared" si="48"/>
        <v>1033</v>
      </c>
      <c r="F418">
        <v>855</v>
      </c>
      <c r="G418">
        <f t="shared" si="49"/>
        <v>594</v>
      </c>
      <c r="H418">
        <v>332</v>
      </c>
      <c r="I418">
        <v>1161</v>
      </c>
      <c r="J418">
        <v>1004</v>
      </c>
      <c r="K418">
        <v>807</v>
      </c>
      <c r="L418">
        <f t="shared" si="50"/>
        <v>686</v>
      </c>
      <c r="M418">
        <v>564</v>
      </c>
      <c r="N418">
        <f t="shared" si="51"/>
        <v>391</v>
      </c>
      <c r="O418">
        <v>217</v>
      </c>
      <c r="P418">
        <v>1285</v>
      </c>
      <c r="Q418">
        <v>1144</v>
      </c>
      <c r="R418">
        <v>948</v>
      </c>
      <c r="S418">
        <f t="shared" si="52"/>
        <v>821</v>
      </c>
      <c r="T418">
        <v>694</v>
      </c>
      <c r="U418">
        <f t="shared" si="53"/>
        <v>492</v>
      </c>
      <c r="V418">
        <v>289</v>
      </c>
      <c r="W418">
        <v>870</v>
      </c>
      <c r="X418">
        <v>768</v>
      </c>
      <c r="Y418">
        <v>632</v>
      </c>
      <c r="Z418">
        <f t="shared" si="54"/>
        <v>545</v>
      </c>
      <c r="AA418">
        <v>458</v>
      </c>
      <c r="AB418">
        <f t="shared" si="55"/>
        <v>324</v>
      </c>
      <c r="AC418">
        <v>189</v>
      </c>
    </row>
    <row r="419" spans="1:29" x14ac:dyDescent="0.25">
      <c r="A419" t="s">
        <v>427</v>
      </c>
      <c r="B419">
        <v>1598</v>
      </c>
      <c r="C419">
        <v>1398</v>
      </c>
      <c r="D419">
        <v>1138</v>
      </c>
      <c r="E419">
        <f t="shared" si="48"/>
        <v>972</v>
      </c>
      <c r="F419">
        <v>805</v>
      </c>
      <c r="G419">
        <f t="shared" si="49"/>
        <v>558</v>
      </c>
      <c r="H419">
        <v>311</v>
      </c>
      <c r="I419">
        <v>1112</v>
      </c>
      <c r="J419">
        <v>964</v>
      </c>
      <c r="K419">
        <v>775</v>
      </c>
      <c r="L419">
        <f t="shared" si="50"/>
        <v>659</v>
      </c>
      <c r="M419">
        <v>543</v>
      </c>
      <c r="N419">
        <f t="shared" si="51"/>
        <v>375</v>
      </c>
      <c r="O419">
        <v>207</v>
      </c>
      <c r="P419">
        <v>1198</v>
      </c>
      <c r="Q419">
        <v>1070</v>
      </c>
      <c r="R419">
        <v>891</v>
      </c>
      <c r="S419">
        <f t="shared" si="52"/>
        <v>773</v>
      </c>
      <c r="T419">
        <v>654</v>
      </c>
      <c r="U419">
        <f t="shared" si="53"/>
        <v>463</v>
      </c>
      <c r="V419">
        <v>271</v>
      </c>
      <c r="W419">
        <v>834</v>
      </c>
      <c r="X419">
        <v>738</v>
      </c>
      <c r="Y419">
        <v>607</v>
      </c>
      <c r="Z419">
        <f t="shared" si="54"/>
        <v>524</v>
      </c>
      <c r="AA419">
        <v>441</v>
      </c>
      <c r="AB419">
        <f t="shared" si="55"/>
        <v>311</v>
      </c>
      <c r="AC419">
        <v>180</v>
      </c>
    </row>
    <row r="420" spans="1:29" x14ac:dyDescent="0.25">
      <c r="A420" t="s">
        <v>428</v>
      </c>
      <c r="B420">
        <v>1477</v>
      </c>
      <c r="C420">
        <v>1299</v>
      </c>
      <c r="D420">
        <v>1061</v>
      </c>
      <c r="E420">
        <f t="shared" si="48"/>
        <v>907</v>
      </c>
      <c r="F420">
        <v>752</v>
      </c>
      <c r="G420">
        <f t="shared" si="49"/>
        <v>521</v>
      </c>
      <c r="H420">
        <v>290</v>
      </c>
      <c r="I420">
        <v>1065</v>
      </c>
      <c r="J420">
        <v>924</v>
      </c>
      <c r="K420">
        <v>745</v>
      </c>
      <c r="L420">
        <f t="shared" si="50"/>
        <v>633</v>
      </c>
      <c r="M420">
        <v>521</v>
      </c>
      <c r="N420">
        <f t="shared" si="51"/>
        <v>360</v>
      </c>
      <c r="O420">
        <v>198</v>
      </c>
      <c r="P420">
        <v>1107</v>
      </c>
      <c r="Q420">
        <v>994</v>
      </c>
      <c r="R420">
        <v>831</v>
      </c>
      <c r="S420">
        <f t="shared" si="52"/>
        <v>721</v>
      </c>
      <c r="T420">
        <v>611</v>
      </c>
      <c r="U420">
        <f t="shared" si="53"/>
        <v>432</v>
      </c>
      <c r="V420">
        <v>253</v>
      </c>
      <c r="W420">
        <v>798</v>
      </c>
      <c r="X420">
        <v>707</v>
      </c>
      <c r="Y420">
        <v>583</v>
      </c>
      <c r="Z420">
        <f t="shared" si="54"/>
        <v>504</v>
      </c>
      <c r="AA420">
        <v>424</v>
      </c>
      <c r="AB420">
        <f t="shared" si="55"/>
        <v>299</v>
      </c>
      <c r="AC420">
        <v>173</v>
      </c>
    </row>
    <row r="421" spans="1:29" x14ac:dyDescent="0.25">
      <c r="A421" t="s">
        <v>429</v>
      </c>
      <c r="B421">
        <v>1351</v>
      </c>
      <c r="C421">
        <v>1193</v>
      </c>
      <c r="D421">
        <v>979</v>
      </c>
      <c r="E421">
        <f t="shared" si="48"/>
        <v>838</v>
      </c>
      <c r="F421">
        <v>697</v>
      </c>
      <c r="G421">
        <f t="shared" si="49"/>
        <v>483</v>
      </c>
      <c r="H421">
        <v>268</v>
      </c>
      <c r="I421">
        <v>1016</v>
      </c>
      <c r="J421">
        <v>883</v>
      </c>
      <c r="K421">
        <v>713</v>
      </c>
      <c r="L421">
        <f t="shared" si="50"/>
        <v>606</v>
      </c>
      <c r="M421">
        <v>499</v>
      </c>
      <c r="N421">
        <f t="shared" si="51"/>
        <v>344</v>
      </c>
      <c r="O421">
        <v>189</v>
      </c>
      <c r="P421">
        <v>1013</v>
      </c>
      <c r="Q421">
        <v>913</v>
      </c>
      <c r="R421">
        <v>767</v>
      </c>
      <c r="S421">
        <f t="shared" si="52"/>
        <v>667</v>
      </c>
      <c r="T421">
        <v>566</v>
      </c>
      <c r="U421">
        <f t="shared" si="53"/>
        <v>400</v>
      </c>
      <c r="V421">
        <v>233</v>
      </c>
      <c r="W421">
        <v>762</v>
      </c>
      <c r="X421">
        <v>676</v>
      </c>
      <c r="Y421">
        <v>558</v>
      </c>
      <c r="Z421">
        <f t="shared" si="54"/>
        <v>482</v>
      </c>
      <c r="AA421">
        <v>405</v>
      </c>
      <c r="AB421">
        <f t="shared" si="55"/>
        <v>285</v>
      </c>
      <c r="AC421">
        <v>164</v>
      </c>
    </row>
    <row r="422" spans="1:29" x14ac:dyDescent="0.25">
      <c r="A422" t="s">
        <v>430</v>
      </c>
      <c r="B422">
        <v>1215</v>
      </c>
      <c r="C422">
        <v>1078</v>
      </c>
      <c r="D422">
        <v>890</v>
      </c>
      <c r="E422">
        <f t="shared" si="48"/>
        <v>762</v>
      </c>
      <c r="F422">
        <v>634</v>
      </c>
      <c r="G422">
        <f t="shared" si="49"/>
        <v>439</v>
      </c>
      <c r="H422">
        <v>243</v>
      </c>
      <c r="I422">
        <v>965</v>
      </c>
      <c r="J422">
        <v>841</v>
      </c>
      <c r="K422">
        <v>681</v>
      </c>
      <c r="L422">
        <f t="shared" si="50"/>
        <v>578</v>
      </c>
      <c r="M422">
        <v>475</v>
      </c>
      <c r="N422">
        <f t="shared" si="51"/>
        <v>327</v>
      </c>
      <c r="O422">
        <v>179</v>
      </c>
      <c r="P422">
        <v>910</v>
      </c>
      <c r="Q422">
        <v>825</v>
      </c>
      <c r="R422">
        <v>696</v>
      </c>
      <c r="S422">
        <f t="shared" si="52"/>
        <v>606</v>
      </c>
      <c r="T422">
        <v>515</v>
      </c>
      <c r="U422">
        <f t="shared" si="53"/>
        <v>364</v>
      </c>
      <c r="V422">
        <v>212</v>
      </c>
      <c r="W422">
        <v>723</v>
      </c>
      <c r="X422">
        <v>644</v>
      </c>
      <c r="Y422">
        <v>532</v>
      </c>
      <c r="Z422">
        <f t="shared" si="54"/>
        <v>459</v>
      </c>
      <c r="AA422">
        <v>386</v>
      </c>
      <c r="AB422">
        <f t="shared" si="55"/>
        <v>271</v>
      </c>
      <c r="AC422">
        <v>156</v>
      </c>
    </row>
    <row r="423" spans="1:29" x14ac:dyDescent="0.25">
      <c r="A423" t="s">
        <v>431</v>
      </c>
      <c r="B423">
        <v>1079</v>
      </c>
      <c r="C423">
        <v>955</v>
      </c>
      <c r="D423">
        <v>791</v>
      </c>
      <c r="E423">
        <f t="shared" si="48"/>
        <v>679</v>
      </c>
      <c r="F423">
        <v>567</v>
      </c>
      <c r="G423">
        <f t="shared" si="49"/>
        <v>391</v>
      </c>
      <c r="H423">
        <v>215</v>
      </c>
      <c r="I423">
        <v>920</v>
      </c>
      <c r="J423">
        <v>797</v>
      </c>
      <c r="K423">
        <v>646</v>
      </c>
      <c r="L423">
        <f t="shared" si="50"/>
        <v>549</v>
      </c>
      <c r="M423">
        <v>452</v>
      </c>
      <c r="N423">
        <f t="shared" si="51"/>
        <v>311</v>
      </c>
      <c r="O423">
        <v>169</v>
      </c>
      <c r="P423">
        <v>809</v>
      </c>
      <c r="Q423">
        <v>731</v>
      </c>
      <c r="R423">
        <v>619</v>
      </c>
      <c r="S423">
        <f t="shared" si="52"/>
        <v>540</v>
      </c>
      <c r="T423">
        <v>460</v>
      </c>
      <c r="U423">
        <f t="shared" si="53"/>
        <v>324</v>
      </c>
      <c r="V423">
        <v>187</v>
      </c>
      <c r="W423">
        <v>690</v>
      </c>
      <c r="X423">
        <v>610</v>
      </c>
      <c r="Y423">
        <v>506</v>
      </c>
      <c r="Z423">
        <f t="shared" si="54"/>
        <v>436</v>
      </c>
      <c r="AA423">
        <v>366</v>
      </c>
      <c r="AB423">
        <f t="shared" si="55"/>
        <v>257</v>
      </c>
      <c r="AC423">
        <v>147</v>
      </c>
    </row>
    <row r="424" spans="1:29" x14ac:dyDescent="0.25">
      <c r="A424" t="s">
        <v>432</v>
      </c>
      <c r="B424">
        <v>1712</v>
      </c>
      <c r="C424">
        <v>1491</v>
      </c>
      <c r="D424">
        <v>1206</v>
      </c>
      <c r="E424">
        <f t="shared" si="48"/>
        <v>1028</v>
      </c>
      <c r="F424">
        <v>850</v>
      </c>
      <c r="G424">
        <f t="shared" si="49"/>
        <v>590</v>
      </c>
      <c r="H424">
        <v>329</v>
      </c>
      <c r="I424">
        <v>1160</v>
      </c>
      <c r="J424">
        <v>1003</v>
      </c>
      <c r="K424">
        <v>804</v>
      </c>
      <c r="L424">
        <f t="shared" si="50"/>
        <v>683</v>
      </c>
      <c r="M424">
        <v>562</v>
      </c>
      <c r="N424">
        <f t="shared" si="51"/>
        <v>389</v>
      </c>
      <c r="O424">
        <v>216</v>
      </c>
      <c r="P424">
        <v>1283</v>
      </c>
      <c r="Q424">
        <v>1140</v>
      </c>
      <c r="R424">
        <v>944</v>
      </c>
      <c r="S424">
        <f t="shared" si="52"/>
        <v>818</v>
      </c>
      <c r="T424">
        <v>691</v>
      </c>
      <c r="U424">
        <f t="shared" si="53"/>
        <v>489</v>
      </c>
      <c r="V424">
        <v>286</v>
      </c>
      <c r="W424">
        <v>869</v>
      </c>
      <c r="X424">
        <v>767</v>
      </c>
      <c r="Y424">
        <v>630</v>
      </c>
      <c r="Z424">
        <f t="shared" si="54"/>
        <v>544</v>
      </c>
      <c r="AA424">
        <v>457</v>
      </c>
      <c r="AB424">
        <f t="shared" si="55"/>
        <v>323</v>
      </c>
      <c r="AC424">
        <v>188</v>
      </c>
    </row>
    <row r="425" spans="1:29" x14ac:dyDescent="0.25">
      <c r="A425" t="s">
        <v>433</v>
      </c>
      <c r="B425">
        <v>1593</v>
      </c>
      <c r="C425">
        <v>1393</v>
      </c>
      <c r="D425">
        <v>1132</v>
      </c>
      <c r="E425">
        <f t="shared" si="48"/>
        <v>966</v>
      </c>
      <c r="F425">
        <v>799</v>
      </c>
      <c r="G425">
        <f t="shared" si="49"/>
        <v>554</v>
      </c>
      <c r="H425">
        <v>308</v>
      </c>
      <c r="I425">
        <v>1110</v>
      </c>
      <c r="J425">
        <v>961</v>
      </c>
      <c r="K425">
        <v>773</v>
      </c>
      <c r="L425">
        <f t="shared" si="50"/>
        <v>657</v>
      </c>
      <c r="M425">
        <v>541</v>
      </c>
      <c r="N425">
        <f t="shared" si="51"/>
        <v>374</v>
      </c>
      <c r="O425">
        <v>206</v>
      </c>
      <c r="P425">
        <v>1194</v>
      </c>
      <c r="Q425">
        <v>1066</v>
      </c>
      <c r="R425">
        <v>886</v>
      </c>
      <c r="S425">
        <f t="shared" si="52"/>
        <v>768</v>
      </c>
      <c r="T425">
        <v>649</v>
      </c>
      <c r="U425">
        <f t="shared" si="53"/>
        <v>459</v>
      </c>
      <c r="V425">
        <v>268</v>
      </c>
      <c r="W425">
        <v>832</v>
      </c>
      <c r="X425">
        <v>736</v>
      </c>
      <c r="Y425">
        <v>605</v>
      </c>
      <c r="Z425">
        <f t="shared" si="54"/>
        <v>522</v>
      </c>
      <c r="AA425">
        <v>439</v>
      </c>
      <c r="AB425">
        <f t="shared" si="55"/>
        <v>310</v>
      </c>
      <c r="AC425">
        <v>180</v>
      </c>
    </row>
    <row r="426" spans="1:29" x14ac:dyDescent="0.25">
      <c r="A426" t="s">
        <v>434</v>
      </c>
      <c r="B426">
        <v>1472</v>
      </c>
      <c r="C426">
        <v>1292</v>
      </c>
      <c r="D426">
        <v>1055</v>
      </c>
      <c r="E426">
        <f t="shared" si="48"/>
        <v>901</v>
      </c>
      <c r="F426">
        <v>747</v>
      </c>
      <c r="G426">
        <f t="shared" si="49"/>
        <v>517</v>
      </c>
      <c r="H426">
        <v>287</v>
      </c>
      <c r="I426">
        <v>1063</v>
      </c>
      <c r="J426">
        <v>922</v>
      </c>
      <c r="K426">
        <v>742</v>
      </c>
      <c r="L426">
        <f t="shared" si="50"/>
        <v>631</v>
      </c>
      <c r="M426">
        <v>519</v>
      </c>
      <c r="N426">
        <f t="shared" si="51"/>
        <v>358</v>
      </c>
      <c r="O426">
        <v>197</v>
      </c>
      <c r="P426">
        <v>1103</v>
      </c>
      <c r="Q426">
        <v>989</v>
      </c>
      <c r="R426">
        <v>826</v>
      </c>
      <c r="S426">
        <f t="shared" si="52"/>
        <v>717</v>
      </c>
      <c r="T426">
        <v>607</v>
      </c>
      <c r="U426">
        <f t="shared" si="53"/>
        <v>429</v>
      </c>
      <c r="V426">
        <v>250</v>
      </c>
      <c r="W426">
        <v>796</v>
      </c>
      <c r="X426">
        <v>706</v>
      </c>
      <c r="Y426">
        <v>581</v>
      </c>
      <c r="Z426">
        <f t="shared" si="54"/>
        <v>502</v>
      </c>
      <c r="AA426">
        <v>422</v>
      </c>
      <c r="AB426">
        <f t="shared" si="55"/>
        <v>297</v>
      </c>
      <c r="AC426">
        <v>172</v>
      </c>
    </row>
    <row r="427" spans="1:29" x14ac:dyDescent="0.25">
      <c r="A427" t="s">
        <v>435</v>
      </c>
      <c r="B427">
        <v>1345</v>
      </c>
      <c r="C427">
        <v>1187</v>
      </c>
      <c r="D427">
        <v>974</v>
      </c>
      <c r="E427">
        <f t="shared" si="48"/>
        <v>833</v>
      </c>
      <c r="F427">
        <v>692</v>
      </c>
      <c r="G427">
        <f t="shared" si="49"/>
        <v>479</v>
      </c>
      <c r="H427">
        <v>265</v>
      </c>
      <c r="I427">
        <v>1013</v>
      </c>
      <c r="J427">
        <v>881</v>
      </c>
      <c r="K427">
        <v>712</v>
      </c>
      <c r="L427">
        <f t="shared" si="50"/>
        <v>605</v>
      </c>
      <c r="M427">
        <v>498</v>
      </c>
      <c r="N427">
        <f t="shared" si="51"/>
        <v>343</v>
      </c>
      <c r="O427">
        <v>187</v>
      </c>
      <c r="P427">
        <v>1009</v>
      </c>
      <c r="Q427">
        <v>908</v>
      </c>
      <c r="R427">
        <v>762</v>
      </c>
      <c r="S427">
        <f t="shared" si="52"/>
        <v>662</v>
      </c>
      <c r="T427">
        <v>562</v>
      </c>
      <c r="U427">
        <f t="shared" si="53"/>
        <v>397</v>
      </c>
      <c r="V427">
        <v>231</v>
      </c>
      <c r="W427">
        <v>760</v>
      </c>
      <c r="X427">
        <v>674</v>
      </c>
      <c r="Y427">
        <v>557</v>
      </c>
      <c r="Z427">
        <f t="shared" si="54"/>
        <v>481</v>
      </c>
      <c r="AA427">
        <v>404</v>
      </c>
      <c r="AB427">
        <f t="shared" si="55"/>
        <v>284</v>
      </c>
      <c r="AC427">
        <v>163</v>
      </c>
    </row>
    <row r="428" spans="1:29" x14ac:dyDescent="0.25">
      <c r="A428" t="s">
        <v>436</v>
      </c>
      <c r="B428">
        <v>1212</v>
      </c>
      <c r="C428">
        <v>1075</v>
      </c>
      <c r="D428">
        <v>886</v>
      </c>
      <c r="E428">
        <f t="shared" si="48"/>
        <v>759</v>
      </c>
      <c r="F428">
        <v>631</v>
      </c>
      <c r="G428">
        <f t="shared" si="49"/>
        <v>436</v>
      </c>
      <c r="H428">
        <v>241</v>
      </c>
      <c r="I428">
        <v>964</v>
      </c>
      <c r="J428">
        <v>839</v>
      </c>
      <c r="K428">
        <v>679</v>
      </c>
      <c r="L428">
        <f t="shared" si="50"/>
        <v>577</v>
      </c>
      <c r="M428">
        <v>475</v>
      </c>
      <c r="N428">
        <f t="shared" si="51"/>
        <v>327</v>
      </c>
      <c r="O428">
        <v>178</v>
      </c>
      <c r="P428">
        <v>908</v>
      </c>
      <c r="Q428">
        <v>822</v>
      </c>
      <c r="R428">
        <v>693</v>
      </c>
      <c r="S428">
        <f t="shared" si="52"/>
        <v>603</v>
      </c>
      <c r="T428">
        <v>512</v>
      </c>
      <c r="U428">
        <f t="shared" si="53"/>
        <v>361</v>
      </c>
      <c r="V428">
        <v>210</v>
      </c>
      <c r="W428">
        <v>722</v>
      </c>
      <c r="X428">
        <v>642</v>
      </c>
      <c r="Y428">
        <v>531</v>
      </c>
      <c r="Z428">
        <f t="shared" si="54"/>
        <v>459</v>
      </c>
      <c r="AA428">
        <v>386</v>
      </c>
      <c r="AB428">
        <f t="shared" si="55"/>
        <v>271</v>
      </c>
      <c r="AC428">
        <v>155</v>
      </c>
    </row>
    <row r="429" spans="1:29" x14ac:dyDescent="0.25">
      <c r="A429" t="s">
        <v>437</v>
      </c>
      <c r="B429">
        <v>1076</v>
      </c>
      <c r="C429">
        <v>952</v>
      </c>
      <c r="D429">
        <v>787</v>
      </c>
      <c r="E429">
        <f t="shared" si="48"/>
        <v>675</v>
      </c>
      <c r="F429">
        <v>563</v>
      </c>
      <c r="G429">
        <f t="shared" si="49"/>
        <v>390</v>
      </c>
      <c r="H429">
        <v>216</v>
      </c>
      <c r="I429">
        <v>919</v>
      </c>
      <c r="J429">
        <v>796</v>
      </c>
      <c r="K429">
        <v>645</v>
      </c>
      <c r="L429">
        <f t="shared" si="50"/>
        <v>548</v>
      </c>
      <c r="M429">
        <v>451</v>
      </c>
      <c r="N429">
        <f t="shared" si="51"/>
        <v>310</v>
      </c>
      <c r="O429">
        <v>169</v>
      </c>
      <c r="P429">
        <v>806</v>
      </c>
      <c r="Q429">
        <v>728</v>
      </c>
      <c r="R429">
        <v>616</v>
      </c>
      <c r="S429">
        <f t="shared" si="52"/>
        <v>537</v>
      </c>
      <c r="T429">
        <v>457</v>
      </c>
      <c r="U429">
        <f t="shared" si="53"/>
        <v>323</v>
      </c>
      <c r="V429">
        <v>188</v>
      </c>
      <c r="W429">
        <v>688</v>
      </c>
      <c r="X429">
        <v>609</v>
      </c>
      <c r="Y429">
        <v>505</v>
      </c>
      <c r="Z429">
        <f t="shared" si="54"/>
        <v>436</v>
      </c>
      <c r="AA429">
        <v>366</v>
      </c>
      <c r="AB429">
        <f t="shared" si="55"/>
        <v>257</v>
      </c>
      <c r="AC429">
        <v>147</v>
      </c>
    </row>
    <row r="430" spans="1:29" x14ac:dyDescent="0.25">
      <c r="A430" t="s">
        <v>438</v>
      </c>
      <c r="B430">
        <v>920</v>
      </c>
      <c r="C430">
        <v>820</v>
      </c>
      <c r="D430">
        <v>682</v>
      </c>
      <c r="E430">
        <f t="shared" si="48"/>
        <v>586</v>
      </c>
      <c r="F430">
        <v>490</v>
      </c>
      <c r="G430">
        <f t="shared" si="49"/>
        <v>338</v>
      </c>
      <c r="H430">
        <v>185</v>
      </c>
      <c r="I430">
        <v>864</v>
      </c>
      <c r="J430">
        <v>750</v>
      </c>
      <c r="K430">
        <v>609</v>
      </c>
      <c r="L430">
        <f t="shared" si="50"/>
        <v>518</v>
      </c>
      <c r="M430">
        <v>426</v>
      </c>
      <c r="N430">
        <f t="shared" si="51"/>
        <v>292</v>
      </c>
      <c r="O430">
        <v>158</v>
      </c>
      <c r="P430">
        <v>690</v>
      </c>
      <c r="Q430">
        <v>627</v>
      </c>
      <c r="R430">
        <v>534</v>
      </c>
      <c r="S430">
        <f t="shared" si="52"/>
        <v>466</v>
      </c>
      <c r="T430">
        <v>398</v>
      </c>
      <c r="U430">
        <f t="shared" si="53"/>
        <v>280</v>
      </c>
      <c r="V430">
        <v>161</v>
      </c>
      <c r="W430">
        <v>648</v>
      </c>
      <c r="X430">
        <v>574</v>
      </c>
      <c r="Y430">
        <v>477</v>
      </c>
      <c r="Z430">
        <f t="shared" si="54"/>
        <v>412</v>
      </c>
      <c r="AA430">
        <v>346</v>
      </c>
      <c r="AB430">
        <f t="shared" si="55"/>
        <v>242</v>
      </c>
      <c r="AC430">
        <v>138</v>
      </c>
    </row>
    <row r="431" spans="1:29" x14ac:dyDescent="0.25">
      <c r="A431" t="s">
        <v>439</v>
      </c>
      <c r="B431">
        <v>1590</v>
      </c>
      <c r="C431">
        <v>1388</v>
      </c>
      <c r="D431">
        <v>1126</v>
      </c>
      <c r="E431">
        <f t="shared" si="48"/>
        <v>959</v>
      </c>
      <c r="F431">
        <v>792</v>
      </c>
      <c r="G431">
        <f t="shared" si="49"/>
        <v>548</v>
      </c>
      <c r="H431">
        <v>304</v>
      </c>
      <c r="I431">
        <v>1110</v>
      </c>
      <c r="J431">
        <v>960</v>
      </c>
      <c r="K431">
        <v>771</v>
      </c>
      <c r="L431">
        <f t="shared" si="50"/>
        <v>655</v>
      </c>
      <c r="M431">
        <v>538</v>
      </c>
      <c r="N431">
        <f t="shared" si="51"/>
        <v>371</v>
      </c>
      <c r="O431">
        <v>204</v>
      </c>
      <c r="P431">
        <v>1192</v>
      </c>
      <c r="Q431">
        <v>1062</v>
      </c>
      <c r="R431">
        <v>881</v>
      </c>
      <c r="S431">
        <f t="shared" si="52"/>
        <v>763</v>
      </c>
      <c r="T431">
        <v>644</v>
      </c>
      <c r="U431">
        <f t="shared" si="53"/>
        <v>455</v>
      </c>
      <c r="V431">
        <v>265</v>
      </c>
      <c r="W431">
        <v>832</v>
      </c>
      <c r="X431">
        <v>734</v>
      </c>
      <c r="Y431">
        <v>603</v>
      </c>
      <c r="Z431">
        <f t="shared" si="54"/>
        <v>520</v>
      </c>
      <c r="AA431">
        <v>437</v>
      </c>
      <c r="AB431">
        <f t="shared" si="55"/>
        <v>308</v>
      </c>
      <c r="AC431">
        <v>178</v>
      </c>
    </row>
    <row r="432" spans="1:29" x14ac:dyDescent="0.25">
      <c r="A432" t="s">
        <v>440</v>
      </c>
      <c r="B432">
        <v>1466</v>
      </c>
      <c r="C432">
        <v>1287</v>
      </c>
      <c r="D432">
        <v>1048</v>
      </c>
      <c r="E432">
        <f t="shared" si="48"/>
        <v>895</v>
      </c>
      <c r="F432">
        <v>741</v>
      </c>
      <c r="G432">
        <f t="shared" si="49"/>
        <v>513</v>
      </c>
      <c r="H432">
        <v>284</v>
      </c>
      <c r="I432">
        <v>1060</v>
      </c>
      <c r="J432">
        <v>920</v>
      </c>
      <c r="K432">
        <v>740</v>
      </c>
      <c r="L432">
        <f t="shared" si="50"/>
        <v>629</v>
      </c>
      <c r="M432">
        <v>517</v>
      </c>
      <c r="N432">
        <f t="shared" si="51"/>
        <v>357</v>
      </c>
      <c r="O432">
        <v>196</v>
      </c>
      <c r="P432">
        <v>1099</v>
      </c>
      <c r="Q432">
        <v>985</v>
      </c>
      <c r="R432">
        <v>820</v>
      </c>
      <c r="S432">
        <f t="shared" si="52"/>
        <v>711</v>
      </c>
      <c r="T432">
        <v>602</v>
      </c>
      <c r="U432">
        <f t="shared" si="53"/>
        <v>425</v>
      </c>
      <c r="V432">
        <v>247</v>
      </c>
      <c r="W432">
        <v>795</v>
      </c>
      <c r="X432">
        <v>704</v>
      </c>
      <c r="Y432">
        <v>579</v>
      </c>
      <c r="Z432">
        <f t="shared" si="54"/>
        <v>500</v>
      </c>
      <c r="AA432">
        <v>420</v>
      </c>
      <c r="AB432">
        <f t="shared" si="55"/>
        <v>295</v>
      </c>
      <c r="AC432">
        <v>170</v>
      </c>
    </row>
    <row r="433" spans="1:29" x14ac:dyDescent="0.25">
      <c r="A433" t="s">
        <v>441</v>
      </c>
      <c r="B433">
        <v>1339</v>
      </c>
      <c r="C433">
        <v>1181</v>
      </c>
      <c r="D433">
        <v>966</v>
      </c>
      <c r="E433">
        <f t="shared" si="48"/>
        <v>826</v>
      </c>
      <c r="F433">
        <v>686</v>
      </c>
      <c r="G433">
        <f t="shared" si="49"/>
        <v>474</v>
      </c>
      <c r="H433">
        <v>262</v>
      </c>
      <c r="I433">
        <v>1010</v>
      </c>
      <c r="J433">
        <v>879</v>
      </c>
      <c r="K433">
        <v>708</v>
      </c>
      <c r="L433">
        <f t="shared" si="50"/>
        <v>602</v>
      </c>
      <c r="M433">
        <v>495</v>
      </c>
      <c r="N433">
        <f t="shared" si="51"/>
        <v>341</v>
      </c>
      <c r="O433">
        <v>186</v>
      </c>
      <c r="P433">
        <v>1003</v>
      </c>
      <c r="Q433">
        <v>903</v>
      </c>
      <c r="R433">
        <v>756</v>
      </c>
      <c r="S433">
        <f t="shared" si="52"/>
        <v>657</v>
      </c>
      <c r="T433">
        <v>557</v>
      </c>
      <c r="U433">
        <f t="shared" si="53"/>
        <v>393</v>
      </c>
      <c r="V433">
        <v>228</v>
      </c>
      <c r="W433">
        <v>757</v>
      </c>
      <c r="X433">
        <v>672</v>
      </c>
      <c r="Y433">
        <v>554</v>
      </c>
      <c r="Z433">
        <f t="shared" si="54"/>
        <v>478</v>
      </c>
      <c r="AA433">
        <v>402</v>
      </c>
      <c r="AB433">
        <f t="shared" si="55"/>
        <v>282</v>
      </c>
      <c r="AC433">
        <v>162</v>
      </c>
    </row>
    <row r="434" spans="1:29" x14ac:dyDescent="0.25">
      <c r="A434" t="s">
        <v>442</v>
      </c>
      <c r="B434">
        <v>1207</v>
      </c>
      <c r="C434">
        <v>1069</v>
      </c>
      <c r="D434">
        <v>880</v>
      </c>
      <c r="E434">
        <f t="shared" si="48"/>
        <v>754</v>
      </c>
      <c r="F434">
        <v>627</v>
      </c>
      <c r="G434">
        <f t="shared" si="49"/>
        <v>434</v>
      </c>
      <c r="H434">
        <v>240</v>
      </c>
      <c r="I434">
        <v>961</v>
      </c>
      <c r="J434">
        <v>838</v>
      </c>
      <c r="K434">
        <v>678</v>
      </c>
      <c r="L434">
        <f t="shared" si="50"/>
        <v>576</v>
      </c>
      <c r="M434">
        <v>474</v>
      </c>
      <c r="N434">
        <f t="shared" si="51"/>
        <v>326</v>
      </c>
      <c r="O434">
        <v>178</v>
      </c>
      <c r="P434">
        <v>905</v>
      </c>
      <c r="Q434">
        <v>818</v>
      </c>
      <c r="R434">
        <v>689</v>
      </c>
      <c r="S434">
        <f t="shared" si="52"/>
        <v>599</v>
      </c>
      <c r="T434">
        <v>509</v>
      </c>
      <c r="U434">
        <f t="shared" si="53"/>
        <v>359</v>
      </c>
      <c r="V434">
        <v>209</v>
      </c>
      <c r="W434">
        <v>721</v>
      </c>
      <c r="X434">
        <v>641</v>
      </c>
      <c r="Y434">
        <v>531</v>
      </c>
      <c r="Z434">
        <f t="shared" si="54"/>
        <v>458</v>
      </c>
      <c r="AA434">
        <v>385</v>
      </c>
      <c r="AB434">
        <f t="shared" si="55"/>
        <v>270</v>
      </c>
      <c r="AC434">
        <v>155</v>
      </c>
    </row>
    <row r="435" spans="1:29" x14ac:dyDescent="0.25">
      <c r="A435" t="s">
        <v>443</v>
      </c>
      <c r="B435">
        <v>1073</v>
      </c>
      <c r="C435">
        <v>947</v>
      </c>
      <c r="D435">
        <v>784</v>
      </c>
      <c r="E435">
        <f t="shared" si="48"/>
        <v>672</v>
      </c>
      <c r="F435">
        <v>560</v>
      </c>
      <c r="G435">
        <f t="shared" si="49"/>
        <v>387</v>
      </c>
      <c r="H435">
        <v>214</v>
      </c>
      <c r="I435">
        <v>917</v>
      </c>
      <c r="J435">
        <v>794</v>
      </c>
      <c r="K435">
        <v>644</v>
      </c>
      <c r="L435">
        <f t="shared" si="50"/>
        <v>547</v>
      </c>
      <c r="M435">
        <v>450</v>
      </c>
      <c r="N435">
        <f t="shared" si="51"/>
        <v>309</v>
      </c>
      <c r="O435">
        <v>167</v>
      </c>
      <c r="P435">
        <v>804</v>
      </c>
      <c r="Q435">
        <v>725</v>
      </c>
      <c r="R435">
        <v>613</v>
      </c>
      <c r="S435">
        <f t="shared" si="52"/>
        <v>534</v>
      </c>
      <c r="T435">
        <v>455</v>
      </c>
      <c r="U435">
        <f t="shared" si="53"/>
        <v>321</v>
      </c>
      <c r="V435">
        <v>186</v>
      </c>
      <c r="W435">
        <v>687</v>
      </c>
      <c r="X435">
        <v>608</v>
      </c>
      <c r="Y435">
        <v>504</v>
      </c>
      <c r="Z435">
        <f t="shared" si="54"/>
        <v>435</v>
      </c>
      <c r="AA435">
        <v>365</v>
      </c>
      <c r="AB435">
        <f t="shared" si="55"/>
        <v>255</v>
      </c>
      <c r="AC435">
        <v>145</v>
      </c>
    </row>
    <row r="436" spans="1:29" x14ac:dyDescent="0.25">
      <c r="A436" t="s">
        <v>444</v>
      </c>
      <c r="B436">
        <v>917</v>
      </c>
      <c r="C436">
        <v>816</v>
      </c>
      <c r="D436">
        <v>679</v>
      </c>
      <c r="E436">
        <f t="shared" si="48"/>
        <v>584</v>
      </c>
      <c r="F436">
        <v>488</v>
      </c>
      <c r="G436">
        <f t="shared" si="49"/>
        <v>336</v>
      </c>
      <c r="H436">
        <v>184</v>
      </c>
      <c r="I436">
        <v>862</v>
      </c>
      <c r="J436">
        <v>750</v>
      </c>
      <c r="K436">
        <v>608</v>
      </c>
      <c r="L436">
        <f t="shared" si="50"/>
        <v>517</v>
      </c>
      <c r="M436">
        <v>425</v>
      </c>
      <c r="N436">
        <f t="shared" si="51"/>
        <v>292</v>
      </c>
      <c r="O436">
        <v>158</v>
      </c>
      <c r="P436">
        <v>688</v>
      </c>
      <c r="Q436">
        <v>624</v>
      </c>
      <c r="R436">
        <v>532</v>
      </c>
      <c r="S436">
        <f t="shared" si="52"/>
        <v>464</v>
      </c>
      <c r="T436">
        <v>396</v>
      </c>
      <c r="U436">
        <f t="shared" si="53"/>
        <v>278</v>
      </c>
      <c r="V436">
        <v>160</v>
      </c>
      <c r="W436">
        <v>647</v>
      </c>
      <c r="X436">
        <v>573</v>
      </c>
      <c r="Y436">
        <v>477</v>
      </c>
      <c r="Z436">
        <f t="shared" si="54"/>
        <v>411</v>
      </c>
      <c r="AA436">
        <v>345</v>
      </c>
      <c r="AB436">
        <f t="shared" si="55"/>
        <v>242</v>
      </c>
      <c r="AC436">
        <v>138</v>
      </c>
    </row>
    <row r="437" spans="1:29" x14ac:dyDescent="0.25">
      <c r="A437" t="s">
        <v>445</v>
      </c>
      <c r="B437">
        <v>841</v>
      </c>
      <c r="C437">
        <v>740</v>
      </c>
      <c r="D437">
        <v>601</v>
      </c>
      <c r="E437">
        <f t="shared" si="48"/>
        <v>511</v>
      </c>
      <c r="F437">
        <v>421</v>
      </c>
      <c r="G437">
        <f t="shared" si="49"/>
        <v>289</v>
      </c>
      <c r="H437">
        <v>156</v>
      </c>
      <c r="I437">
        <v>841</v>
      </c>
      <c r="J437">
        <v>740</v>
      </c>
      <c r="K437">
        <v>601</v>
      </c>
      <c r="L437">
        <f t="shared" si="50"/>
        <v>511</v>
      </c>
      <c r="M437">
        <v>421</v>
      </c>
      <c r="N437">
        <f t="shared" si="51"/>
        <v>289</v>
      </c>
      <c r="O437">
        <v>156</v>
      </c>
      <c r="P437">
        <v>631</v>
      </c>
      <c r="Q437">
        <v>566</v>
      </c>
      <c r="R437">
        <v>471</v>
      </c>
      <c r="S437">
        <f t="shared" si="52"/>
        <v>407</v>
      </c>
      <c r="T437">
        <v>342</v>
      </c>
      <c r="U437">
        <f t="shared" si="53"/>
        <v>239</v>
      </c>
      <c r="V437">
        <v>136</v>
      </c>
      <c r="W437">
        <v>631</v>
      </c>
      <c r="X437">
        <v>566</v>
      </c>
      <c r="Y437">
        <v>471</v>
      </c>
      <c r="Z437">
        <f t="shared" si="54"/>
        <v>407</v>
      </c>
      <c r="AA437">
        <v>342</v>
      </c>
      <c r="AB437">
        <f t="shared" si="55"/>
        <v>239</v>
      </c>
      <c r="AC437">
        <v>136</v>
      </c>
    </row>
    <row r="438" spans="1:29" x14ac:dyDescent="0.25">
      <c r="A438" t="s">
        <v>446</v>
      </c>
      <c r="B438">
        <v>1462</v>
      </c>
      <c r="C438">
        <v>1281</v>
      </c>
      <c r="D438">
        <v>1040</v>
      </c>
      <c r="E438">
        <f t="shared" si="48"/>
        <v>887</v>
      </c>
      <c r="F438">
        <v>733</v>
      </c>
      <c r="G438">
        <f t="shared" si="49"/>
        <v>507</v>
      </c>
      <c r="H438">
        <v>280</v>
      </c>
      <c r="I438">
        <v>1058</v>
      </c>
      <c r="J438">
        <v>916</v>
      </c>
      <c r="K438">
        <v>737</v>
      </c>
      <c r="L438">
        <f t="shared" si="50"/>
        <v>625</v>
      </c>
      <c r="M438">
        <v>512</v>
      </c>
      <c r="N438">
        <f t="shared" si="51"/>
        <v>353</v>
      </c>
      <c r="O438">
        <v>194</v>
      </c>
      <c r="P438">
        <v>1096</v>
      </c>
      <c r="Q438">
        <v>980</v>
      </c>
      <c r="R438">
        <v>814</v>
      </c>
      <c r="S438">
        <f t="shared" si="52"/>
        <v>705</v>
      </c>
      <c r="T438">
        <v>596</v>
      </c>
      <c r="U438">
        <f t="shared" si="53"/>
        <v>420</v>
      </c>
      <c r="V438">
        <v>244</v>
      </c>
      <c r="W438">
        <v>793</v>
      </c>
      <c r="X438">
        <v>701</v>
      </c>
      <c r="Y438">
        <v>577</v>
      </c>
      <c r="Z438">
        <f t="shared" si="54"/>
        <v>497</v>
      </c>
      <c r="AA438">
        <v>417</v>
      </c>
      <c r="AB438">
        <f t="shared" si="55"/>
        <v>293</v>
      </c>
      <c r="AC438">
        <v>169</v>
      </c>
    </row>
    <row r="439" spans="1:29" x14ac:dyDescent="0.25">
      <c r="A439" t="s">
        <v>447</v>
      </c>
      <c r="B439">
        <v>1333</v>
      </c>
      <c r="C439">
        <v>1174</v>
      </c>
      <c r="D439">
        <v>959</v>
      </c>
      <c r="E439">
        <f t="shared" si="48"/>
        <v>819</v>
      </c>
      <c r="F439">
        <v>678</v>
      </c>
      <c r="G439">
        <f t="shared" si="49"/>
        <v>469</v>
      </c>
      <c r="H439">
        <v>259</v>
      </c>
      <c r="I439">
        <v>1009</v>
      </c>
      <c r="J439">
        <v>877</v>
      </c>
      <c r="K439">
        <v>706</v>
      </c>
      <c r="L439">
        <f t="shared" si="50"/>
        <v>600</v>
      </c>
      <c r="M439">
        <v>493</v>
      </c>
      <c r="N439">
        <f t="shared" si="51"/>
        <v>339</v>
      </c>
      <c r="O439">
        <v>185</v>
      </c>
      <c r="P439">
        <v>999</v>
      </c>
      <c r="Q439">
        <v>898</v>
      </c>
      <c r="R439">
        <v>751</v>
      </c>
      <c r="S439">
        <f t="shared" si="52"/>
        <v>651</v>
      </c>
      <c r="T439">
        <v>551</v>
      </c>
      <c r="U439">
        <f t="shared" si="53"/>
        <v>388</v>
      </c>
      <c r="V439">
        <v>225</v>
      </c>
      <c r="W439">
        <v>756</v>
      </c>
      <c r="X439">
        <v>670</v>
      </c>
      <c r="Y439">
        <v>553</v>
      </c>
      <c r="Z439">
        <f t="shared" si="54"/>
        <v>477</v>
      </c>
      <c r="AA439">
        <v>400</v>
      </c>
      <c r="AB439">
        <f t="shared" si="55"/>
        <v>281</v>
      </c>
      <c r="AC439">
        <v>161</v>
      </c>
    </row>
    <row r="440" spans="1:29" x14ac:dyDescent="0.25">
      <c r="A440" t="s">
        <v>448</v>
      </c>
      <c r="B440">
        <v>1200</v>
      </c>
      <c r="C440">
        <v>1062</v>
      </c>
      <c r="D440">
        <v>873</v>
      </c>
      <c r="E440">
        <f t="shared" si="48"/>
        <v>747</v>
      </c>
      <c r="F440">
        <v>621</v>
      </c>
      <c r="G440">
        <f t="shared" si="49"/>
        <v>429</v>
      </c>
      <c r="H440">
        <v>236</v>
      </c>
      <c r="I440">
        <v>959</v>
      </c>
      <c r="J440">
        <v>835</v>
      </c>
      <c r="K440">
        <v>675</v>
      </c>
      <c r="L440">
        <f t="shared" si="50"/>
        <v>574</v>
      </c>
      <c r="M440">
        <v>472</v>
      </c>
      <c r="N440">
        <f t="shared" si="51"/>
        <v>324</v>
      </c>
      <c r="O440">
        <v>176</v>
      </c>
      <c r="P440">
        <v>899</v>
      </c>
      <c r="Q440">
        <v>813</v>
      </c>
      <c r="R440">
        <v>683</v>
      </c>
      <c r="S440">
        <f t="shared" si="52"/>
        <v>594</v>
      </c>
      <c r="T440">
        <v>504</v>
      </c>
      <c r="U440">
        <f t="shared" si="53"/>
        <v>355</v>
      </c>
      <c r="V440">
        <v>206</v>
      </c>
      <c r="W440">
        <v>719</v>
      </c>
      <c r="X440">
        <v>639</v>
      </c>
      <c r="Y440">
        <v>528</v>
      </c>
      <c r="Z440">
        <f t="shared" si="54"/>
        <v>456</v>
      </c>
      <c r="AA440">
        <v>383</v>
      </c>
      <c r="AB440">
        <f t="shared" si="55"/>
        <v>269</v>
      </c>
      <c r="AC440">
        <v>154</v>
      </c>
    </row>
    <row r="441" spans="1:29" x14ac:dyDescent="0.25">
      <c r="A441" t="s">
        <v>449</v>
      </c>
      <c r="B441">
        <v>1068</v>
      </c>
      <c r="C441">
        <v>943</v>
      </c>
      <c r="D441">
        <v>780</v>
      </c>
      <c r="E441">
        <f t="shared" si="48"/>
        <v>669</v>
      </c>
      <c r="F441">
        <v>557</v>
      </c>
      <c r="G441">
        <f t="shared" si="49"/>
        <v>384</v>
      </c>
      <c r="H441">
        <v>211</v>
      </c>
      <c r="I441">
        <v>915</v>
      </c>
      <c r="J441">
        <v>793</v>
      </c>
      <c r="K441">
        <v>642</v>
      </c>
      <c r="L441">
        <f t="shared" si="50"/>
        <v>546</v>
      </c>
      <c r="M441">
        <v>449</v>
      </c>
      <c r="N441">
        <f t="shared" si="51"/>
        <v>308</v>
      </c>
      <c r="O441">
        <v>166</v>
      </c>
      <c r="P441">
        <v>801</v>
      </c>
      <c r="Q441">
        <v>722</v>
      </c>
      <c r="R441">
        <v>611</v>
      </c>
      <c r="S441">
        <f t="shared" si="52"/>
        <v>532</v>
      </c>
      <c r="T441">
        <v>452</v>
      </c>
      <c r="U441">
        <f t="shared" si="53"/>
        <v>318</v>
      </c>
      <c r="V441">
        <v>184</v>
      </c>
      <c r="W441">
        <v>687</v>
      </c>
      <c r="X441">
        <v>607</v>
      </c>
      <c r="Y441">
        <v>503</v>
      </c>
      <c r="Z441">
        <f t="shared" si="54"/>
        <v>434</v>
      </c>
      <c r="AA441">
        <v>364</v>
      </c>
      <c r="AB441">
        <f t="shared" si="55"/>
        <v>255</v>
      </c>
      <c r="AC441">
        <v>145</v>
      </c>
    </row>
    <row r="442" spans="1:29" x14ac:dyDescent="0.25">
      <c r="A442" t="s">
        <v>450</v>
      </c>
      <c r="B442">
        <v>914</v>
      </c>
      <c r="C442">
        <v>811</v>
      </c>
      <c r="D442">
        <v>675</v>
      </c>
      <c r="E442">
        <f t="shared" si="48"/>
        <v>580</v>
      </c>
      <c r="F442">
        <v>484</v>
      </c>
      <c r="G442">
        <f t="shared" si="49"/>
        <v>334</v>
      </c>
      <c r="H442">
        <v>183</v>
      </c>
      <c r="I442">
        <v>862</v>
      </c>
      <c r="J442">
        <v>747</v>
      </c>
      <c r="K442">
        <v>607</v>
      </c>
      <c r="L442">
        <f t="shared" si="50"/>
        <v>516</v>
      </c>
      <c r="M442">
        <v>424</v>
      </c>
      <c r="N442">
        <f t="shared" si="51"/>
        <v>291</v>
      </c>
      <c r="O442">
        <v>157</v>
      </c>
      <c r="P442">
        <v>685</v>
      </c>
      <c r="Q442">
        <v>621</v>
      </c>
      <c r="R442">
        <v>529</v>
      </c>
      <c r="S442">
        <f t="shared" si="52"/>
        <v>461</v>
      </c>
      <c r="T442">
        <v>393</v>
      </c>
      <c r="U442">
        <f t="shared" si="53"/>
        <v>277</v>
      </c>
      <c r="V442">
        <v>160</v>
      </c>
      <c r="W442">
        <v>646</v>
      </c>
      <c r="X442">
        <v>572</v>
      </c>
      <c r="Y442">
        <v>476</v>
      </c>
      <c r="Z442">
        <f t="shared" si="54"/>
        <v>410</v>
      </c>
      <c r="AA442">
        <v>344</v>
      </c>
      <c r="AB442">
        <f t="shared" si="55"/>
        <v>241</v>
      </c>
      <c r="AC442">
        <v>137</v>
      </c>
    </row>
    <row r="443" spans="1:29" x14ac:dyDescent="0.25">
      <c r="A443" t="s">
        <v>451</v>
      </c>
      <c r="B443">
        <v>835</v>
      </c>
      <c r="C443">
        <v>741</v>
      </c>
      <c r="D443">
        <v>596</v>
      </c>
      <c r="E443">
        <f t="shared" si="48"/>
        <v>507</v>
      </c>
      <c r="F443">
        <v>417</v>
      </c>
      <c r="G443">
        <f t="shared" si="49"/>
        <v>286</v>
      </c>
      <c r="H443">
        <v>155</v>
      </c>
      <c r="I443">
        <v>835</v>
      </c>
      <c r="J443">
        <v>741</v>
      </c>
      <c r="K443">
        <v>596</v>
      </c>
      <c r="L443">
        <f t="shared" si="50"/>
        <v>507</v>
      </c>
      <c r="M443">
        <v>417</v>
      </c>
      <c r="N443">
        <f t="shared" si="51"/>
        <v>286</v>
      </c>
      <c r="O443">
        <v>155</v>
      </c>
      <c r="P443">
        <v>626</v>
      </c>
      <c r="Q443">
        <v>567</v>
      </c>
      <c r="R443">
        <v>467</v>
      </c>
      <c r="S443">
        <f t="shared" si="52"/>
        <v>403</v>
      </c>
      <c r="T443">
        <v>339</v>
      </c>
      <c r="U443">
        <f t="shared" si="53"/>
        <v>237</v>
      </c>
      <c r="V443">
        <v>135</v>
      </c>
      <c r="W443">
        <v>626</v>
      </c>
      <c r="X443">
        <v>567</v>
      </c>
      <c r="Y443">
        <v>467</v>
      </c>
      <c r="Z443">
        <f t="shared" si="54"/>
        <v>403</v>
      </c>
      <c r="AA443">
        <v>339</v>
      </c>
      <c r="AB443">
        <f t="shared" si="55"/>
        <v>237</v>
      </c>
      <c r="AC443">
        <v>135</v>
      </c>
    </row>
    <row r="444" spans="1:29" x14ac:dyDescent="0.25">
      <c r="A444" t="s">
        <v>452</v>
      </c>
      <c r="B444">
        <v>781</v>
      </c>
      <c r="C444">
        <v>695</v>
      </c>
      <c r="D444">
        <v>564</v>
      </c>
      <c r="E444">
        <f t="shared" si="48"/>
        <v>480</v>
      </c>
      <c r="F444">
        <v>395</v>
      </c>
      <c r="G444">
        <f t="shared" si="49"/>
        <v>271</v>
      </c>
      <c r="H444">
        <v>146</v>
      </c>
      <c r="I444">
        <v>781</v>
      </c>
      <c r="J444">
        <v>695</v>
      </c>
      <c r="K444">
        <v>564</v>
      </c>
      <c r="L444">
        <f t="shared" si="50"/>
        <v>480</v>
      </c>
      <c r="M444">
        <v>395</v>
      </c>
      <c r="N444">
        <f t="shared" si="51"/>
        <v>271</v>
      </c>
      <c r="O444">
        <v>146</v>
      </c>
      <c r="P444">
        <v>585</v>
      </c>
      <c r="Q444">
        <v>532</v>
      </c>
      <c r="R444">
        <v>441</v>
      </c>
      <c r="S444">
        <f t="shared" si="52"/>
        <v>381</v>
      </c>
      <c r="T444">
        <v>321</v>
      </c>
      <c r="U444">
        <f t="shared" si="53"/>
        <v>225</v>
      </c>
      <c r="V444">
        <v>128</v>
      </c>
      <c r="W444">
        <v>585</v>
      </c>
      <c r="X444">
        <v>532</v>
      </c>
      <c r="Y444">
        <v>441</v>
      </c>
      <c r="Z444">
        <f t="shared" si="54"/>
        <v>381</v>
      </c>
      <c r="AA444">
        <v>321</v>
      </c>
      <c r="AB444">
        <f t="shared" si="55"/>
        <v>225</v>
      </c>
      <c r="AC444">
        <v>128</v>
      </c>
    </row>
    <row r="445" spans="1:29" x14ac:dyDescent="0.25">
      <c r="A445" t="s">
        <v>453</v>
      </c>
      <c r="B445">
        <v>1327</v>
      </c>
      <c r="C445">
        <v>1166</v>
      </c>
      <c r="D445">
        <v>952</v>
      </c>
      <c r="E445">
        <f t="shared" si="48"/>
        <v>812</v>
      </c>
      <c r="F445">
        <v>672</v>
      </c>
      <c r="G445">
        <f t="shared" si="49"/>
        <v>464</v>
      </c>
      <c r="H445">
        <v>255</v>
      </c>
      <c r="I445">
        <v>1007</v>
      </c>
      <c r="J445">
        <v>874</v>
      </c>
      <c r="K445">
        <v>704</v>
      </c>
      <c r="L445">
        <f t="shared" si="50"/>
        <v>597</v>
      </c>
      <c r="M445">
        <v>490</v>
      </c>
      <c r="N445">
        <f t="shared" si="51"/>
        <v>337</v>
      </c>
      <c r="O445">
        <v>183</v>
      </c>
      <c r="P445">
        <v>995</v>
      </c>
      <c r="Q445">
        <v>892</v>
      </c>
      <c r="R445">
        <v>745</v>
      </c>
      <c r="S445">
        <f t="shared" si="52"/>
        <v>646</v>
      </c>
      <c r="T445">
        <v>546</v>
      </c>
      <c r="U445">
        <f t="shared" si="53"/>
        <v>384</v>
      </c>
      <c r="V445">
        <v>222</v>
      </c>
      <c r="W445">
        <v>755</v>
      </c>
      <c r="X445">
        <v>669</v>
      </c>
      <c r="Y445">
        <v>551</v>
      </c>
      <c r="Z445">
        <f t="shared" si="54"/>
        <v>475</v>
      </c>
      <c r="AA445">
        <v>398</v>
      </c>
      <c r="AB445">
        <f t="shared" si="55"/>
        <v>279</v>
      </c>
      <c r="AC445">
        <v>160</v>
      </c>
    </row>
    <row r="446" spans="1:29" x14ac:dyDescent="0.25">
      <c r="A446" t="s">
        <v>454</v>
      </c>
      <c r="B446">
        <v>1192</v>
      </c>
      <c r="C446">
        <v>1054</v>
      </c>
      <c r="D446">
        <v>864</v>
      </c>
      <c r="E446">
        <f t="shared" si="48"/>
        <v>739</v>
      </c>
      <c r="F446">
        <v>613</v>
      </c>
      <c r="G446">
        <f t="shared" si="49"/>
        <v>423</v>
      </c>
      <c r="H446">
        <v>233</v>
      </c>
      <c r="I446">
        <v>957</v>
      </c>
      <c r="J446">
        <v>833</v>
      </c>
      <c r="K446">
        <v>672</v>
      </c>
      <c r="L446">
        <f t="shared" si="50"/>
        <v>570</v>
      </c>
      <c r="M446">
        <v>468</v>
      </c>
      <c r="N446">
        <f t="shared" si="51"/>
        <v>322</v>
      </c>
      <c r="O446">
        <v>175</v>
      </c>
      <c r="P446">
        <v>894</v>
      </c>
      <c r="Q446">
        <v>807</v>
      </c>
      <c r="R446">
        <v>677</v>
      </c>
      <c r="S446">
        <f t="shared" si="52"/>
        <v>588</v>
      </c>
      <c r="T446">
        <v>498</v>
      </c>
      <c r="U446">
        <f t="shared" si="53"/>
        <v>351</v>
      </c>
      <c r="V446">
        <v>203</v>
      </c>
      <c r="W446">
        <v>718</v>
      </c>
      <c r="X446">
        <v>638</v>
      </c>
      <c r="Y446">
        <v>526</v>
      </c>
      <c r="Z446">
        <f t="shared" si="54"/>
        <v>453</v>
      </c>
      <c r="AA446">
        <v>380</v>
      </c>
      <c r="AB446">
        <f t="shared" si="55"/>
        <v>266</v>
      </c>
      <c r="AC446">
        <v>152</v>
      </c>
    </row>
    <row r="447" spans="1:29" x14ac:dyDescent="0.25">
      <c r="A447" t="s">
        <v>455</v>
      </c>
      <c r="B447">
        <v>1062</v>
      </c>
      <c r="C447">
        <v>936</v>
      </c>
      <c r="D447">
        <v>773</v>
      </c>
      <c r="E447">
        <f t="shared" si="48"/>
        <v>663</v>
      </c>
      <c r="F447">
        <v>552</v>
      </c>
      <c r="G447">
        <f t="shared" si="49"/>
        <v>381</v>
      </c>
      <c r="H447">
        <v>210</v>
      </c>
      <c r="I447">
        <v>914</v>
      </c>
      <c r="J447">
        <v>791</v>
      </c>
      <c r="K447">
        <v>640</v>
      </c>
      <c r="L447">
        <f t="shared" si="50"/>
        <v>544</v>
      </c>
      <c r="M447">
        <v>447</v>
      </c>
      <c r="N447">
        <f t="shared" si="51"/>
        <v>307</v>
      </c>
      <c r="O447">
        <v>166</v>
      </c>
      <c r="P447">
        <v>796</v>
      </c>
      <c r="Q447">
        <v>716</v>
      </c>
      <c r="R447">
        <v>605</v>
      </c>
      <c r="S447">
        <f t="shared" si="52"/>
        <v>527</v>
      </c>
      <c r="T447">
        <v>448</v>
      </c>
      <c r="U447">
        <f t="shared" si="53"/>
        <v>316</v>
      </c>
      <c r="V447">
        <v>183</v>
      </c>
      <c r="W447">
        <v>685</v>
      </c>
      <c r="X447">
        <v>605</v>
      </c>
      <c r="Y447">
        <v>501</v>
      </c>
      <c r="Z447">
        <f t="shared" si="54"/>
        <v>432</v>
      </c>
      <c r="AA447">
        <v>362</v>
      </c>
      <c r="AB447">
        <f t="shared" si="55"/>
        <v>254</v>
      </c>
      <c r="AC447">
        <v>145</v>
      </c>
    </row>
    <row r="448" spans="1:29" x14ac:dyDescent="0.25">
      <c r="A448" t="s">
        <v>456</v>
      </c>
      <c r="B448">
        <v>909</v>
      </c>
      <c r="C448">
        <v>807</v>
      </c>
      <c r="D448">
        <v>671</v>
      </c>
      <c r="E448">
        <f t="shared" si="48"/>
        <v>576</v>
      </c>
      <c r="F448">
        <v>481</v>
      </c>
      <c r="G448">
        <f t="shared" si="49"/>
        <v>333</v>
      </c>
      <c r="H448">
        <v>184</v>
      </c>
      <c r="I448">
        <v>859</v>
      </c>
      <c r="J448">
        <v>747</v>
      </c>
      <c r="K448">
        <v>606</v>
      </c>
      <c r="L448">
        <f t="shared" si="50"/>
        <v>515</v>
      </c>
      <c r="M448">
        <v>423</v>
      </c>
      <c r="N448">
        <f t="shared" si="51"/>
        <v>291</v>
      </c>
      <c r="O448">
        <v>158</v>
      </c>
      <c r="P448">
        <v>682</v>
      </c>
      <c r="Q448">
        <v>617</v>
      </c>
      <c r="R448">
        <v>525</v>
      </c>
      <c r="S448">
        <f t="shared" si="52"/>
        <v>458</v>
      </c>
      <c r="T448">
        <v>391</v>
      </c>
      <c r="U448">
        <f t="shared" si="53"/>
        <v>276</v>
      </c>
      <c r="V448">
        <v>160</v>
      </c>
      <c r="W448">
        <v>645</v>
      </c>
      <c r="X448">
        <v>571</v>
      </c>
      <c r="Y448">
        <v>475</v>
      </c>
      <c r="Z448">
        <f t="shared" si="54"/>
        <v>410</v>
      </c>
      <c r="AA448">
        <v>344</v>
      </c>
      <c r="AB448">
        <f t="shared" si="55"/>
        <v>241</v>
      </c>
      <c r="AC448">
        <v>138</v>
      </c>
    </row>
    <row r="449" spans="1:29" x14ac:dyDescent="0.25">
      <c r="A449" t="s">
        <v>457</v>
      </c>
      <c r="B449">
        <v>828</v>
      </c>
      <c r="C449">
        <v>734</v>
      </c>
      <c r="D449">
        <v>591</v>
      </c>
      <c r="E449">
        <f t="shared" si="48"/>
        <v>503</v>
      </c>
      <c r="F449">
        <v>414</v>
      </c>
      <c r="G449">
        <f t="shared" si="49"/>
        <v>284</v>
      </c>
      <c r="H449">
        <v>153</v>
      </c>
      <c r="I449">
        <v>828</v>
      </c>
      <c r="J449">
        <v>734</v>
      </c>
      <c r="K449">
        <v>591</v>
      </c>
      <c r="L449">
        <f t="shared" si="50"/>
        <v>503</v>
      </c>
      <c r="M449">
        <v>414</v>
      </c>
      <c r="N449">
        <f t="shared" si="51"/>
        <v>284</v>
      </c>
      <c r="O449">
        <v>153</v>
      </c>
      <c r="P449">
        <v>621</v>
      </c>
      <c r="Q449">
        <v>561</v>
      </c>
      <c r="R449">
        <v>463</v>
      </c>
      <c r="S449">
        <f t="shared" si="52"/>
        <v>400</v>
      </c>
      <c r="T449">
        <v>336</v>
      </c>
      <c r="U449">
        <f t="shared" si="53"/>
        <v>235</v>
      </c>
      <c r="V449">
        <v>133</v>
      </c>
      <c r="W449">
        <v>621</v>
      </c>
      <c r="X449">
        <v>561</v>
      </c>
      <c r="Y449">
        <v>463</v>
      </c>
      <c r="Z449">
        <f t="shared" si="54"/>
        <v>400</v>
      </c>
      <c r="AA449">
        <v>336</v>
      </c>
      <c r="AB449">
        <f t="shared" si="55"/>
        <v>235</v>
      </c>
      <c r="AC449">
        <v>133</v>
      </c>
    </row>
    <row r="450" spans="1:29" x14ac:dyDescent="0.25">
      <c r="A450" t="s">
        <v>458</v>
      </c>
      <c r="B450">
        <v>775</v>
      </c>
      <c r="C450">
        <v>690</v>
      </c>
      <c r="D450">
        <v>559</v>
      </c>
      <c r="E450">
        <f t="shared" si="48"/>
        <v>476</v>
      </c>
      <c r="F450">
        <v>392</v>
      </c>
      <c r="G450">
        <f t="shared" si="49"/>
        <v>269</v>
      </c>
      <c r="H450">
        <v>146</v>
      </c>
      <c r="I450">
        <v>775</v>
      </c>
      <c r="J450">
        <v>690</v>
      </c>
      <c r="K450">
        <v>559</v>
      </c>
      <c r="L450">
        <f t="shared" si="50"/>
        <v>476</v>
      </c>
      <c r="M450">
        <v>392</v>
      </c>
      <c r="N450">
        <f t="shared" si="51"/>
        <v>269</v>
      </c>
      <c r="O450">
        <v>146</v>
      </c>
      <c r="P450">
        <v>581</v>
      </c>
      <c r="Q450">
        <v>528</v>
      </c>
      <c r="R450">
        <v>437</v>
      </c>
      <c r="S450">
        <f t="shared" si="52"/>
        <v>378</v>
      </c>
      <c r="T450">
        <v>319</v>
      </c>
      <c r="U450">
        <f t="shared" si="53"/>
        <v>224</v>
      </c>
      <c r="V450">
        <v>128</v>
      </c>
      <c r="W450">
        <v>581</v>
      </c>
      <c r="X450">
        <v>528</v>
      </c>
      <c r="Y450">
        <v>437</v>
      </c>
      <c r="Z450">
        <f t="shared" si="54"/>
        <v>378</v>
      </c>
      <c r="AA450">
        <v>319</v>
      </c>
      <c r="AB450">
        <f t="shared" si="55"/>
        <v>224</v>
      </c>
      <c r="AC450">
        <v>128</v>
      </c>
    </row>
    <row r="451" spans="1:29" x14ac:dyDescent="0.25">
      <c r="A451" t="s">
        <v>459</v>
      </c>
      <c r="B451">
        <v>719</v>
      </c>
      <c r="C451">
        <v>641</v>
      </c>
      <c r="D451">
        <v>528</v>
      </c>
      <c r="E451">
        <f t="shared" si="48"/>
        <v>451</v>
      </c>
      <c r="F451">
        <v>374</v>
      </c>
      <c r="G451">
        <f t="shared" si="49"/>
        <v>255</v>
      </c>
      <c r="H451">
        <v>136</v>
      </c>
      <c r="I451">
        <v>719</v>
      </c>
      <c r="J451">
        <v>641</v>
      </c>
      <c r="K451">
        <v>528</v>
      </c>
      <c r="L451">
        <f t="shared" si="50"/>
        <v>451</v>
      </c>
      <c r="M451">
        <v>374</v>
      </c>
      <c r="N451">
        <f t="shared" si="51"/>
        <v>255</v>
      </c>
      <c r="O451">
        <v>136</v>
      </c>
      <c r="P451">
        <v>539</v>
      </c>
      <c r="Q451">
        <v>491</v>
      </c>
      <c r="R451">
        <v>413</v>
      </c>
      <c r="S451">
        <f t="shared" si="52"/>
        <v>359</v>
      </c>
      <c r="T451">
        <v>304</v>
      </c>
      <c r="U451">
        <f t="shared" si="53"/>
        <v>211</v>
      </c>
      <c r="V451">
        <v>118</v>
      </c>
      <c r="W451">
        <v>539</v>
      </c>
      <c r="X451">
        <v>491</v>
      </c>
      <c r="Y451">
        <v>413</v>
      </c>
      <c r="Z451">
        <f t="shared" si="54"/>
        <v>359</v>
      </c>
      <c r="AA451">
        <v>304</v>
      </c>
      <c r="AB451">
        <f t="shared" si="55"/>
        <v>211</v>
      </c>
      <c r="AC451">
        <v>118</v>
      </c>
    </row>
    <row r="452" spans="1:29" x14ac:dyDescent="0.25">
      <c r="A452" t="s">
        <v>460</v>
      </c>
      <c r="B452">
        <v>1186</v>
      </c>
      <c r="C452">
        <v>1046</v>
      </c>
      <c r="D452">
        <v>855</v>
      </c>
      <c r="E452">
        <f t="shared" ref="E452:E516" si="56">ROUND((D452+F452)/2,0)</f>
        <v>731</v>
      </c>
      <c r="F452">
        <v>606</v>
      </c>
      <c r="G452">
        <f t="shared" ref="G452:G516" si="57">ROUND((F452+H452)/2,0)</f>
        <v>418</v>
      </c>
      <c r="H452">
        <v>229</v>
      </c>
      <c r="I452">
        <v>954</v>
      </c>
      <c r="J452">
        <v>830</v>
      </c>
      <c r="K452">
        <v>668</v>
      </c>
      <c r="L452">
        <f t="shared" ref="L452:L516" si="58">ROUND((K452+M452)/2,0)</f>
        <v>567</v>
      </c>
      <c r="M452">
        <v>465</v>
      </c>
      <c r="N452">
        <f t="shared" ref="N452:N516" si="59">ROUND((M452+O452)/2,0)</f>
        <v>319</v>
      </c>
      <c r="O452">
        <v>173</v>
      </c>
      <c r="P452">
        <v>889</v>
      </c>
      <c r="Q452">
        <v>800</v>
      </c>
      <c r="R452">
        <v>670</v>
      </c>
      <c r="S452">
        <f t="shared" ref="S452:S516" si="60">ROUND((R452+T452)/2,0)</f>
        <v>581</v>
      </c>
      <c r="T452">
        <v>492</v>
      </c>
      <c r="U452">
        <f t="shared" ref="U452:U516" si="61">ROUND((T452+V452)/2,0)</f>
        <v>346</v>
      </c>
      <c r="V452">
        <v>199</v>
      </c>
      <c r="W452">
        <v>715</v>
      </c>
      <c r="X452">
        <v>634</v>
      </c>
      <c r="Y452">
        <v>523</v>
      </c>
      <c r="Z452">
        <f t="shared" ref="Z452:Z516" si="62">ROUND((Y452+AA452)/2,0)</f>
        <v>451</v>
      </c>
      <c r="AA452">
        <v>378</v>
      </c>
      <c r="AB452">
        <f t="shared" ref="AB452:AB516" si="63">ROUND((AA452+AC452)/2,0)</f>
        <v>265</v>
      </c>
      <c r="AC452">
        <v>151</v>
      </c>
    </row>
    <row r="453" spans="1:29" x14ac:dyDescent="0.25">
      <c r="A453" t="s">
        <v>461</v>
      </c>
      <c r="B453">
        <v>1053</v>
      </c>
      <c r="C453">
        <v>926</v>
      </c>
      <c r="D453">
        <v>764</v>
      </c>
      <c r="E453">
        <f t="shared" si="56"/>
        <v>654</v>
      </c>
      <c r="F453">
        <v>544</v>
      </c>
      <c r="G453">
        <f t="shared" si="57"/>
        <v>375</v>
      </c>
      <c r="H453">
        <v>206</v>
      </c>
      <c r="I453">
        <v>910</v>
      </c>
      <c r="J453">
        <v>787</v>
      </c>
      <c r="K453">
        <v>636</v>
      </c>
      <c r="L453">
        <f t="shared" si="58"/>
        <v>541</v>
      </c>
      <c r="M453">
        <v>445</v>
      </c>
      <c r="N453">
        <f t="shared" si="59"/>
        <v>305</v>
      </c>
      <c r="O453">
        <v>164</v>
      </c>
      <c r="P453">
        <v>790</v>
      </c>
      <c r="Q453">
        <v>709</v>
      </c>
      <c r="R453">
        <v>598</v>
      </c>
      <c r="S453">
        <f t="shared" si="60"/>
        <v>520</v>
      </c>
      <c r="T453">
        <v>442</v>
      </c>
      <c r="U453">
        <f t="shared" si="61"/>
        <v>311</v>
      </c>
      <c r="V453">
        <v>180</v>
      </c>
      <c r="W453">
        <v>683</v>
      </c>
      <c r="X453">
        <v>603</v>
      </c>
      <c r="Y453">
        <v>498</v>
      </c>
      <c r="Z453">
        <f t="shared" si="62"/>
        <v>430</v>
      </c>
      <c r="AA453">
        <v>362</v>
      </c>
      <c r="AB453">
        <f t="shared" si="63"/>
        <v>253</v>
      </c>
      <c r="AC453">
        <v>144</v>
      </c>
    </row>
    <row r="454" spans="1:29" x14ac:dyDescent="0.25">
      <c r="A454" t="s">
        <v>462</v>
      </c>
      <c r="B454">
        <v>905</v>
      </c>
      <c r="C454">
        <v>802</v>
      </c>
      <c r="D454">
        <v>666</v>
      </c>
      <c r="E454">
        <f t="shared" si="56"/>
        <v>571</v>
      </c>
      <c r="F454">
        <v>476</v>
      </c>
      <c r="G454">
        <f t="shared" si="57"/>
        <v>329</v>
      </c>
      <c r="H454">
        <v>181</v>
      </c>
      <c r="I454">
        <v>859</v>
      </c>
      <c r="J454">
        <v>745</v>
      </c>
      <c r="K454">
        <v>604</v>
      </c>
      <c r="L454">
        <f t="shared" si="58"/>
        <v>513</v>
      </c>
      <c r="M454">
        <v>421</v>
      </c>
      <c r="N454">
        <f t="shared" si="59"/>
        <v>289</v>
      </c>
      <c r="O454">
        <v>156</v>
      </c>
      <c r="P454">
        <v>678</v>
      </c>
      <c r="Q454">
        <v>614</v>
      </c>
      <c r="R454">
        <v>521</v>
      </c>
      <c r="S454">
        <f t="shared" si="60"/>
        <v>454</v>
      </c>
      <c r="T454">
        <v>387</v>
      </c>
      <c r="U454">
        <f t="shared" si="61"/>
        <v>272</v>
      </c>
      <c r="V454">
        <v>157</v>
      </c>
      <c r="W454">
        <v>644</v>
      </c>
      <c r="X454">
        <v>570</v>
      </c>
      <c r="Y454">
        <v>472</v>
      </c>
      <c r="Z454">
        <f t="shared" si="62"/>
        <v>407</v>
      </c>
      <c r="AA454">
        <v>342</v>
      </c>
      <c r="AB454">
        <f t="shared" si="63"/>
        <v>239</v>
      </c>
      <c r="AC454">
        <v>135</v>
      </c>
    </row>
    <row r="455" spans="1:29" x14ac:dyDescent="0.25">
      <c r="A455" t="s">
        <v>463</v>
      </c>
      <c r="B455">
        <v>821</v>
      </c>
      <c r="C455">
        <v>727</v>
      </c>
      <c r="D455">
        <v>586</v>
      </c>
      <c r="E455">
        <f t="shared" si="56"/>
        <v>498</v>
      </c>
      <c r="F455">
        <v>410</v>
      </c>
      <c r="G455">
        <f t="shared" si="57"/>
        <v>281</v>
      </c>
      <c r="H455">
        <v>151</v>
      </c>
      <c r="I455">
        <v>821</v>
      </c>
      <c r="J455">
        <v>727</v>
      </c>
      <c r="K455">
        <v>586</v>
      </c>
      <c r="L455">
        <f t="shared" si="58"/>
        <v>498</v>
      </c>
      <c r="M455">
        <v>410</v>
      </c>
      <c r="N455">
        <f t="shared" si="59"/>
        <v>281</v>
      </c>
      <c r="O455">
        <v>151</v>
      </c>
      <c r="P455">
        <v>616</v>
      </c>
      <c r="Q455">
        <v>556</v>
      </c>
      <c r="R455">
        <v>458</v>
      </c>
      <c r="S455">
        <f t="shared" si="60"/>
        <v>396</v>
      </c>
      <c r="T455">
        <v>333</v>
      </c>
      <c r="U455">
        <f t="shared" si="61"/>
        <v>233</v>
      </c>
      <c r="V455">
        <v>132</v>
      </c>
      <c r="W455">
        <v>616</v>
      </c>
      <c r="X455">
        <v>556</v>
      </c>
      <c r="Y455">
        <v>458</v>
      </c>
      <c r="Z455">
        <f t="shared" si="62"/>
        <v>396</v>
      </c>
      <c r="AA455">
        <v>333</v>
      </c>
      <c r="AB455">
        <f t="shared" si="63"/>
        <v>233</v>
      </c>
      <c r="AC455">
        <v>132</v>
      </c>
    </row>
    <row r="456" spans="1:29" x14ac:dyDescent="0.25">
      <c r="A456" t="s">
        <v>464</v>
      </c>
      <c r="B456">
        <v>768</v>
      </c>
      <c r="C456">
        <v>682</v>
      </c>
      <c r="D456">
        <v>552</v>
      </c>
      <c r="E456">
        <f t="shared" si="56"/>
        <v>471</v>
      </c>
      <c r="F456">
        <v>389</v>
      </c>
      <c r="G456">
        <f t="shared" si="57"/>
        <v>266</v>
      </c>
      <c r="H456">
        <v>143</v>
      </c>
      <c r="I456">
        <v>768</v>
      </c>
      <c r="J456">
        <v>682</v>
      </c>
      <c r="K456">
        <v>552</v>
      </c>
      <c r="L456">
        <f t="shared" si="58"/>
        <v>471</v>
      </c>
      <c r="M456">
        <v>389</v>
      </c>
      <c r="N456">
        <f t="shared" si="59"/>
        <v>266</v>
      </c>
      <c r="O456">
        <v>143</v>
      </c>
      <c r="P456">
        <v>576</v>
      </c>
      <c r="Q456">
        <v>522</v>
      </c>
      <c r="R456">
        <v>432</v>
      </c>
      <c r="S456">
        <f t="shared" si="60"/>
        <v>374</v>
      </c>
      <c r="T456">
        <v>316</v>
      </c>
      <c r="U456">
        <f t="shared" si="61"/>
        <v>221</v>
      </c>
      <c r="V456">
        <v>125</v>
      </c>
      <c r="W456">
        <v>576</v>
      </c>
      <c r="X456">
        <v>522</v>
      </c>
      <c r="Y456">
        <v>432</v>
      </c>
      <c r="Z456">
        <f t="shared" si="62"/>
        <v>374</v>
      </c>
      <c r="AA456">
        <v>316</v>
      </c>
      <c r="AB456">
        <f t="shared" si="63"/>
        <v>221</v>
      </c>
      <c r="AC456">
        <v>125</v>
      </c>
    </row>
    <row r="457" spans="1:29" x14ac:dyDescent="0.25">
      <c r="A457" t="s">
        <v>465</v>
      </c>
      <c r="B457">
        <v>715</v>
      </c>
      <c r="C457">
        <v>638</v>
      </c>
      <c r="D457">
        <v>525</v>
      </c>
      <c r="E457">
        <f t="shared" si="56"/>
        <v>446</v>
      </c>
      <c r="F457">
        <v>366</v>
      </c>
      <c r="G457">
        <f t="shared" si="57"/>
        <v>251</v>
      </c>
      <c r="H457">
        <v>136</v>
      </c>
      <c r="I457">
        <v>715</v>
      </c>
      <c r="J457">
        <v>638</v>
      </c>
      <c r="K457">
        <v>525</v>
      </c>
      <c r="L457">
        <f t="shared" si="58"/>
        <v>446</v>
      </c>
      <c r="M457">
        <v>366</v>
      </c>
      <c r="N457">
        <f t="shared" si="59"/>
        <v>251</v>
      </c>
      <c r="O457">
        <v>136</v>
      </c>
      <c r="P457">
        <v>536</v>
      </c>
      <c r="Q457">
        <v>488</v>
      </c>
      <c r="R457">
        <v>411</v>
      </c>
      <c r="S457">
        <f t="shared" si="60"/>
        <v>354</v>
      </c>
      <c r="T457">
        <v>297</v>
      </c>
      <c r="U457">
        <f t="shared" si="61"/>
        <v>208</v>
      </c>
      <c r="V457">
        <v>118</v>
      </c>
      <c r="W457">
        <v>536</v>
      </c>
      <c r="X457">
        <v>488</v>
      </c>
      <c r="Y457">
        <v>411</v>
      </c>
      <c r="Z457">
        <f t="shared" si="62"/>
        <v>354</v>
      </c>
      <c r="AA457">
        <v>297</v>
      </c>
      <c r="AB457">
        <f t="shared" si="63"/>
        <v>208</v>
      </c>
      <c r="AC457">
        <v>118</v>
      </c>
    </row>
    <row r="458" spans="1:29" x14ac:dyDescent="0.25">
      <c r="A458" t="s">
        <v>466</v>
      </c>
      <c r="B458">
        <v>655</v>
      </c>
      <c r="C458">
        <v>587</v>
      </c>
      <c r="D458">
        <v>485</v>
      </c>
      <c r="E458">
        <f t="shared" si="56"/>
        <v>414</v>
      </c>
      <c r="F458">
        <v>343</v>
      </c>
      <c r="G458">
        <f t="shared" si="57"/>
        <v>234</v>
      </c>
      <c r="H458">
        <v>124</v>
      </c>
      <c r="I458">
        <v>655</v>
      </c>
      <c r="J458">
        <v>587</v>
      </c>
      <c r="K458">
        <v>485</v>
      </c>
      <c r="L458">
        <f t="shared" si="58"/>
        <v>414</v>
      </c>
      <c r="M458">
        <v>343</v>
      </c>
      <c r="N458">
        <f t="shared" si="59"/>
        <v>234</v>
      </c>
      <c r="O458">
        <v>124</v>
      </c>
      <c r="P458">
        <v>491</v>
      </c>
      <c r="Q458">
        <v>449</v>
      </c>
      <c r="R458">
        <v>379</v>
      </c>
      <c r="S458">
        <f t="shared" si="60"/>
        <v>329</v>
      </c>
      <c r="T458">
        <v>279</v>
      </c>
      <c r="U458">
        <f t="shared" si="61"/>
        <v>194</v>
      </c>
      <c r="V458">
        <v>108</v>
      </c>
      <c r="W458">
        <v>491</v>
      </c>
      <c r="X458">
        <v>449</v>
      </c>
      <c r="Y458">
        <v>379</v>
      </c>
      <c r="Z458">
        <f t="shared" si="62"/>
        <v>329</v>
      </c>
      <c r="AA458">
        <v>279</v>
      </c>
      <c r="AB458">
        <f t="shared" si="63"/>
        <v>194</v>
      </c>
      <c r="AC458">
        <v>108</v>
      </c>
    </row>
    <row r="459" spans="1:29" x14ac:dyDescent="0.25">
      <c r="A459" t="s">
        <v>467</v>
      </c>
      <c r="B459">
        <v>1045</v>
      </c>
      <c r="C459">
        <v>917</v>
      </c>
      <c r="D459">
        <v>754</v>
      </c>
      <c r="E459">
        <f t="shared" si="56"/>
        <v>645</v>
      </c>
      <c r="F459">
        <v>535</v>
      </c>
      <c r="G459">
        <f t="shared" si="57"/>
        <v>368</v>
      </c>
      <c r="H459">
        <v>201</v>
      </c>
      <c r="I459">
        <v>907</v>
      </c>
      <c r="J459">
        <v>784</v>
      </c>
      <c r="K459">
        <v>632</v>
      </c>
      <c r="L459">
        <f t="shared" si="58"/>
        <v>537</v>
      </c>
      <c r="M459">
        <v>441</v>
      </c>
      <c r="N459">
        <f t="shared" si="59"/>
        <v>302</v>
      </c>
      <c r="O459">
        <v>163</v>
      </c>
      <c r="P459">
        <v>784</v>
      </c>
      <c r="Q459">
        <v>702</v>
      </c>
      <c r="R459">
        <v>591</v>
      </c>
      <c r="S459">
        <f t="shared" si="60"/>
        <v>513</v>
      </c>
      <c r="T459">
        <v>435</v>
      </c>
      <c r="U459">
        <f t="shared" si="61"/>
        <v>305</v>
      </c>
      <c r="V459">
        <v>175</v>
      </c>
      <c r="W459">
        <v>681</v>
      </c>
      <c r="X459">
        <v>600</v>
      </c>
      <c r="Y459">
        <v>496</v>
      </c>
      <c r="Z459">
        <f t="shared" si="62"/>
        <v>428</v>
      </c>
      <c r="AA459">
        <v>359</v>
      </c>
      <c r="AB459">
        <f t="shared" si="63"/>
        <v>251</v>
      </c>
      <c r="AC459">
        <v>142</v>
      </c>
    </row>
    <row r="460" spans="1:29" x14ac:dyDescent="0.25">
      <c r="A460" t="s">
        <v>468</v>
      </c>
      <c r="B460">
        <v>896</v>
      </c>
      <c r="C460">
        <v>793</v>
      </c>
      <c r="D460">
        <v>657</v>
      </c>
      <c r="E460">
        <f t="shared" si="56"/>
        <v>564</v>
      </c>
      <c r="F460">
        <v>470</v>
      </c>
      <c r="G460">
        <f t="shared" si="57"/>
        <v>324</v>
      </c>
      <c r="H460">
        <v>178</v>
      </c>
      <c r="I460">
        <v>856</v>
      </c>
      <c r="J460">
        <v>742</v>
      </c>
      <c r="K460">
        <v>601</v>
      </c>
      <c r="L460">
        <f t="shared" si="58"/>
        <v>511</v>
      </c>
      <c r="M460">
        <v>420</v>
      </c>
      <c r="N460">
        <f t="shared" si="59"/>
        <v>288</v>
      </c>
      <c r="O460">
        <v>155</v>
      </c>
      <c r="P460">
        <v>672</v>
      </c>
      <c r="Q460">
        <v>607</v>
      </c>
      <c r="R460">
        <v>515</v>
      </c>
      <c r="S460">
        <f t="shared" si="60"/>
        <v>449</v>
      </c>
      <c r="T460">
        <v>382</v>
      </c>
      <c r="U460">
        <f t="shared" si="61"/>
        <v>269</v>
      </c>
      <c r="V460">
        <v>155</v>
      </c>
      <c r="W460">
        <v>642</v>
      </c>
      <c r="X460">
        <v>568</v>
      </c>
      <c r="Y460">
        <v>471</v>
      </c>
      <c r="Z460">
        <f t="shared" si="62"/>
        <v>406</v>
      </c>
      <c r="AA460">
        <v>341</v>
      </c>
      <c r="AB460">
        <f t="shared" si="63"/>
        <v>238</v>
      </c>
      <c r="AC460">
        <v>135</v>
      </c>
    </row>
    <row r="461" spans="1:29" x14ac:dyDescent="0.25">
      <c r="A461" t="s">
        <v>469</v>
      </c>
      <c r="B461">
        <v>814</v>
      </c>
      <c r="C461">
        <v>720</v>
      </c>
      <c r="D461">
        <v>579</v>
      </c>
      <c r="E461">
        <f t="shared" si="56"/>
        <v>492</v>
      </c>
      <c r="F461">
        <v>405</v>
      </c>
      <c r="G461">
        <f t="shared" si="57"/>
        <v>277</v>
      </c>
      <c r="H461">
        <v>149</v>
      </c>
      <c r="I461">
        <v>814</v>
      </c>
      <c r="J461">
        <v>720</v>
      </c>
      <c r="K461">
        <v>579</v>
      </c>
      <c r="L461">
        <f t="shared" si="58"/>
        <v>492</v>
      </c>
      <c r="M461">
        <v>405</v>
      </c>
      <c r="N461">
        <f t="shared" si="59"/>
        <v>277</v>
      </c>
      <c r="O461">
        <v>149</v>
      </c>
      <c r="P461">
        <v>610</v>
      </c>
      <c r="Q461">
        <v>551</v>
      </c>
      <c r="R461">
        <v>453</v>
      </c>
      <c r="S461">
        <f t="shared" si="60"/>
        <v>391</v>
      </c>
      <c r="T461">
        <v>329</v>
      </c>
      <c r="U461">
        <f t="shared" si="61"/>
        <v>230</v>
      </c>
      <c r="V461">
        <v>130</v>
      </c>
      <c r="W461">
        <v>610</v>
      </c>
      <c r="X461">
        <v>551</v>
      </c>
      <c r="Y461">
        <v>453</v>
      </c>
      <c r="Z461">
        <f t="shared" si="62"/>
        <v>391</v>
      </c>
      <c r="AA461">
        <v>329</v>
      </c>
      <c r="AB461">
        <f t="shared" si="63"/>
        <v>230</v>
      </c>
      <c r="AC461">
        <v>130</v>
      </c>
    </row>
    <row r="462" spans="1:29" x14ac:dyDescent="0.25">
      <c r="A462" t="s">
        <v>470</v>
      </c>
      <c r="B462">
        <v>761</v>
      </c>
      <c r="C462">
        <v>676</v>
      </c>
      <c r="D462">
        <v>547</v>
      </c>
      <c r="E462">
        <f t="shared" si="56"/>
        <v>466</v>
      </c>
      <c r="F462">
        <v>384</v>
      </c>
      <c r="G462">
        <f t="shared" si="57"/>
        <v>263</v>
      </c>
      <c r="H462">
        <v>141</v>
      </c>
      <c r="I462">
        <v>761</v>
      </c>
      <c r="J462">
        <v>676</v>
      </c>
      <c r="K462">
        <v>547</v>
      </c>
      <c r="L462">
        <f t="shared" si="58"/>
        <v>466</v>
      </c>
      <c r="M462">
        <v>384</v>
      </c>
      <c r="N462">
        <f t="shared" si="59"/>
        <v>263</v>
      </c>
      <c r="O462">
        <v>141</v>
      </c>
      <c r="P462">
        <v>570</v>
      </c>
      <c r="Q462">
        <v>517</v>
      </c>
      <c r="R462">
        <v>428</v>
      </c>
      <c r="S462">
        <f t="shared" si="60"/>
        <v>370</v>
      </c>
      <c r="T462">
        <v>312</v>
      </c>
      <c r="U462">
        <f t="shared" si="61"/>
        <v>218</v>
      </c>
      <c r="V462">
        <v>123</v>
      </c>
      <c r="W462">
        <v>570</v>
      </c>
      <c r="X462">
        <v>517</v>
      </c>
      <c r="Y462">
        <v>428</v>
      </c>
      <c r="Z462">
        <f t="shared" si="62"/>
        <v>370</v>
      </c>
      <c r="AA462">
        <v>312</v>
      </c>
      <c r="AB462">
        <f t="shared" si="63"/>
        <v>218</v>
      </c>
      <c r="AC462">
        <v>123</v>
      </c>
    </row>
    <row r="463" spans="1:29" x14ac:dyDescent="0.25">
      <c r="A463" t="s">
        <v>471</v>
      </c>
      <c r="B463">
        <v>707</v>
      </c>
      <c r="C463">
        <v>630</v>
      </c>
      <c r="D463">
        <v>518</v>
      </c>
      <c r="E463">
        <f t="shared" si="56"/>
        <v>440</v>
      </c>
      <c r="F463">
        <v>362</v>
      </c>
      <c r="G463">
        <f t="shared" si="57"/>
        <v>249</v>
      </c>
      <c r="H463">
        <v>135</v>
      </c>
      <c r="I463">
        <v>707</v>
      </c>
      <c r="J463">
        <v>630</v>
      </c>
      <c r="K463">
        <v>518</v>
      </c>
      <c r="L463">
        <f t="shared" si="58"/>
        <v>440</v>
      </c>
      <c r="M463">
        <v>362</v>
      </c>
      <c r="N463">
        <f t="shared" si="59"/>
        <v>249</v>
      </c>
      <c r="O463">
        <v>135</v>
      </c>
      <c r="P463">
        <v>530</v>
      </c>
      <c r="Q463">
        <v>482</v>
      </c>
      <c r="R463">
        <v>406</v>
      </c>
      <c r="S463">
        <f t="shared" si="60"/>
        <v>350</v>
      </c>
      <c r="T463">
        <v>294</v>
      </c>
      <c r="U463">
        <f t="shared" si="61"/>
        <v>206</v>
      </c>
      <c r="V463">
        <v>117</v>
      </c>
      <c r="W463">
        <v>530</v>
      </c>
      <c r="X463">
        <v>482</v>
      </c>
      <c r="Y463">
        <v>406</v>
      </c>
      <c r="Z463">
        <f t="shared" si="62"/>
        <v>350</v>
      </c>
      <c r="AA463">
        <v>294</v>
      </c>
      <c r="AB463">
        <f t="shared" si="63"/>
        <v>206</v>
      </c>
      <c r="AC463">
        <v>117</v>
      </c>
    </row>
    <row r="464" spans="1:29" x14ac:dyDescent="0.25">
      <c r="A464" t="s">
        <v>472</v>
      </c>
      <c r="B464">
        <v>650</v>
      </c>
      <c r="C464">
        <v>583</v>
      </c>
      <c r="D464">
        <v>482</v>
      </c>
      <c r="E464">
        <f t="shared" si="56"/>
        <v>412</v>
      </c>
      <c r="F464">
        <v>342</v>
      </c>
      <c r="G464">
        <f t="shared" si="57"/>
        <v>234</v>
      </c>
      <c r="H464">
        <v>125</v>
      </c>
      <c r="I464">
        <v>650</v>
      </c>
      <c r="J464">
        <v>583</v>
      </c>
      <c r="K464">
        <v>482</v>
      </c>
      <c r="L464">
        <f t="shared" si="58"/>
        <v>412</v>
      </c>
      <c r="M464">
        <v>342</v>
      </c>
      <c r="N464">
        <f t="shared" si="59"/>
        <v>234</v>
      </c>
      <c r="O464">
        <v>125</v>
      </c>
      <c r="P464">
        <v>487</v>
      </c>
      <c r="Q464">
        <v>446</v>
      </c>
      <c r="R464">
        <v>377</v>
      </c>
      <c r="S464">
        <f t="shared" si="60"/>
        <v>328</v>
      </c>
      <c r="T464">
        <v>278</v>
      </c>
      <c r="U464">
        <f t="shared" si="61"/>
        <v>194</v>
      </c>
      <c r="V464">
        <v>109</v>
      </c>
      <c r="W464">
        <v>487</v>
      </c>
      <c r="X464">
        <v>446</v>
      </c>
      <c r="Y464">
        <v>377</v>
      </c>
      <c r="Z464">
        <f t="shared" si="62"/>
        <v>328</v>
      </c>
      <c r="AA464">
        <v>278</v>
      </c>
      <c r="AB464">
        <f t="shared" si="63"/>
        <v>194</v>
      </c>
      <c r="AC464">
        <v>109</v>
      </c>
    </row>
    <row r="465" spans="1:29" x14ac:dyDescent="0.25">
      <c r="A465" t="s">
        <v>473</v>
      </c>
      <c r="B465">
        <v>589</v>
      </c>
      <c r="C465">
        <v>530</v>
      </c>
      <c r="D465">
        <v>439</v>
      </c>
      <c r="E465">
        <f t="shared" si="56"/>
        <v>376</v>
      </c>
      <c r="F465">
        <v>313</v>
      </c>
      <c r="G465">
        <f t="shared" si="57"/>
        <v>213</v>
      </c>
      <c r="H465">
        <v>113</v>
      </c>
      <c r="I465">
        <v>589</v>
      </c>
      <c r="J465">
        <v>530</v>
      </c>
      <c r="K465">
        <v>439</v>
      </c>
      <c r="L465">
        <f t="shared" si="58"/>
        <v>376</v>
      </c>
      <c r="M465">
        <v>313</v>
      </c>
      <c r="N465">
        <f t="shared" si="59"/>
        <v>213</v>
      </c>
      <c r="O465">
        <v>113</v>
      </c>
      <c r="P465">
        <v>442</v>
      </c>
      <c r="Q465">
        <v>405</v>
      </c>
      <c r="R465">
        <v>344</v>
      </c>
      <c r="S465">
        <f t="shared" si="60"/>
        <v>300</v>
      </c>
      <c r="T465">
        <v>255</v>
      </c>
      <c r="U465">
        <f t="shared" si="61"/>
        <v>177</v>
      </c>
      <c r="V465">
        <v>99</v>
      </c>
      <c r="W465">
        <v>442</v>
      </c>
      <c r="X465">
        <v>405</v>
      </c>
      <c r="Y465">
        <v>344</v>
      </c>
      <c r="Z465">
        <f t="shared" si="62"/>
        <v>300</v>
      </c>
      <c r="AA465">
        <v>255</v>
      </c>
      <c r="AB465">
        <f t="shared" si="63"/>
        <v>177</v>
      </c>
      <c r="AC465">
        <v>99</v>
      </c>
    </row>
    <row r="466" spans="1:29" x14ac:dyDescent="0.25">
      <c r="A466" t="s">
        <v>474</v>
      </c>
      <c r="B466">
        <v>886</v>
      </c>
      <c r="C466">
        <v>782</v>
      </c>
      <c r="D466">
        <v>646</v>
      </c>
      <c r="E466">
        <f t="shared" si="56"/>
        <v>554</v>
      </c>
      <c r="F466">
        <v>461</v>
      </c>
      <c r="G466">
        <f t="shared" si="57"/>
        <v>317</v>
      </c>
      <c r="H466">
        <v>173</v>
      </c>
      <c r="I466">
        <v>852</v>
      </c>
      <c r="J466">
        <v>739</v>
      </c>
      <c r="K466">
        <v>597</v>
      </c>
      <c r="L466">
        <f t="shared" si="58"/>
        <v>507</v>
      </c>
      <c r="M466">
        <v>416</v>
      </c>
      <c r="N466">
        <f t="shared" si="59"/>
        <v>285</v>
      </c>
      <c r="O466">
        <v>153</v>
      </c>
      <c r="P466">
        <v>664</v>
      </c>
      <c r="Q466">
        <v>598</v>
      </c>
      <c r="R466">
        <v>506</v>
      </c>
      <c r="S466">
        <f t="shared" si="60"/>
        <v>441</v>
      </c>
      <c r="T466">
        <v>375</v>
      </c>
      <c r="U466">
        <f t="shared" si="61"/>
        <v>263</v>
      </c>
      <c r="V466">
        <v>151</v>
      </c>
      <c r="W466">
        <v>639</v>
      </c>
      <c r="X466">
        <v>565</v>
      </c>
      <c r="Y466">
        <v>468</v>
      </c>
      <c r="Z466">
        <f t="shared" si="62"/>
        <v>403</v>
      </c>
      <c r="AA466">
        <v>338</v>
      </c>
      <c r="AB466">
        <f t="shared" si="63"/>
        <v>236</v>
      </c>
      <c r="AC466">
        <v>134</v>
      </c>
    </row>
    <row r="467" spans="1:29" x14ac:dyDescent="0.25">
      <c r="A467" t="s">
        <v>475</v>
      </c>
      <c r="B467">
        <v>806</v>
      </c>
      <c r="C467">
        <v>712</v>
      </c>
      <c r="D467">
        <v>573</v>
      </c>
      <c r="E467">
        <f t="shared" si="56"/>
        <v>487</v>
      </c>
      <c r="F467">
        <v>400</v>
      </c>
      <c r="G467">
        <f t="shared" si="57"/>
        <v>274</v>
      </c>
      <c r="H467">
        <v>147</v>
      </c>
      <c r="I467">
        <v>806</v>
      </c>
      <c r="J467">
        <v>712</v>
      </c>
      <c r="K467">
        <v>573</v>
      </c>
      <c r="L467">
        <f t="shared" si="58"/>
        <v>487</v>
      </c>
      <c r="M467">
        <v>400</v>
      </c>
      <c r="N467">
        <f t="shared" si="59"/>
        <v>274</v>
      </c>
      <c r="O467">
        <v>147</v>
      </c>
      <c r="P467">
        <v>604</v>
      </c>
      <c r="Q467">
        <v>545</v>
      </c>
      <c r="R467">
        <v>449</v>
      </c>
      <c r="S467">
        <f t="shared" si="60"/>
        <v>387</v>
      </c>
      <c r="T467">
        <v>325</v>
      </c>
      <c r="U467">
        <f t="shared" si="61"/>
        <v>227</v>
      </c>
      <c r="V467">
        <v>128</v>
      </c>
      <c r="W467">
        <v>604</v>
      </c>
      <c r="X467">
        <v>545</v>
      </c>
      <c r="Y467">
        <v>449</v>
      </c>
      <c r="Z467">
        <f t="shared" si="62"/>
        <v>387</v>
      </c>
      <c r="AA467">
        <v>325</v>
      </c>
      <c r="AB467">
        <f t="shared" si="63"/>
        <v>227</v>
      </c>
      <c r="AC467">
        <v>128</v>
      </c>
    </row>
    <row r="468" spans="1:29" x14ac:dyDescent="0.25">
      <c r="A468" t="s">
        <v>476</v>
      </c>
      <c r="B468">
        <v>753</v>
      </c>
      <c r="C468">
        <v>669</v>
      </c>
      <c r="D468">
        <v>540</v>
      </c>
      <c r="E468">
        <f t="shared" si="56"/>
        <v>460</v>
      </c>
      <c r="F468">
        <v>380</v>
      </c>
      <c r="G468">
        <f t="shared" si="57"/>
        <v>260</v>
      </c>
      <c r="H468">
        <v>139</v>
      </c>
      <c r="I468">
        <v>753</v>
      </c>
      <c r="J468">
        <v>669</v>
      </c>
      <c r="K468">
        <v>540</v>
      </c>
      <c r="L468">
        <f t="shared" si="58"/>
        <v>460</v>
      </c>
      <c r="M468">
        <v>380</v>
      </c>
      <c r="N468">
        <f t="shared" si="59"/>
        <v>260</v>
      </c>
      <c r="O468">
        <v>139</v>
      </c>
      <c r="P468">
        <v>564</v>
      </c>
      <c r="Q468">
        <v>512</v>
      </c>
      <c r="R468">
        <v>423</v>
      </c>
      <c r="S468">
        <f t="shared" si="60"/>
        <v>366</v>
      </c>
      <c r="T468">
        <v>309</v>
      </c>
      <c r="U468">
        <f t="shared" si="61"/>
        <v>215</v>
      </c>
      <c r="V468">
        <v>121</v>
      </c>
      <c r="W468">
        <v>564</v>
      </c>
      <c r="X468">
        <v>512</v>
      </c>
      <c r="Y468">
        <v>423</v>
      </c>
      <c r="Z468">
        <f t="shared" si="62"/>
        <v>366</v>
      </c>
      <c r="AA468">
        <v>309</v>
      </c>
      <c r="AB468">
        <f t="shared" si="63"/>
        <v>215</v>
      </c>
      <c r="AC468">
        <v>121</v>
      </c>
    </row>
    <row r="469" spans="1:29" x14ac:dyDescent="0.25">
      <c r="A469" t="s">
        <v>477</v>
      </c>
      <c r="B469">
        <v>699</v>
      </c>
      <c r="C469">
        <v>623</v>
      </c>
      <c r="D469">
        <v>512</v>
      </c>
      <c r="E469">
        <f t="shared" si="56"/>
        <v>435</v>
      </c>
      <c r="F469">
        <v>358</v>
      </c>
      <c r="G469">
        <f t="shared" si="57"/>
        <v>246</v>
      </c>
      <c r="H469">
        <v>133</v>
      </c>
      <c r="I469">
        <v>699</v>
      </c>
      <c r="J469">
        <v>623</v>
      </c>
      <c r="K469">
        <v>512</v>
      </c>
      <c r="L469">
        <f t="shared" si="58"/>
        <v>435</v>
      </c>
      <c r="M469">
        <v>358</v>
      </c>
      <c r="N469">
        <f t="shared" si="59"/>
        <v>246</v>
      </c>
      <c r="O469">
        <v>133</v>
      </c>
      <c r="P469">
        <v>524</v>
      </c>
      <c r="Q469">
        <v>477</v>
      </c>
      <c r="R469">
        <v>401</v>
      </c>
      <c r="S469">
        <f t="shared" si="60"/>
        <v>346</v>
      </c>
      <c r="T469">
        <v>291</v>
      </c>
      <c r="U469">
        <f t="shared" si="61"/>
        <v>204</v>
      </c>
      <c r="V469">
        <v>116</v>
      </c>
      <c r="W469">
        <v>524</v>
      </c>
      <c r="X469">
        <v>477</v>
      </c>
      <c r="Y469">
        <v>401</v>
      </c>
      <c r="Z469">
        <f t="shared" si="62"/>
        <v>346</v>
      </c>
      <c r="AA469">
        <v>291</v>
      </c>
      <c r="AB469">
        <f t="shared" si="63"/>
        <v>204</v>
      </c>
      <c r="AC469">
        <v>116</v>
      </c>
    </row>
    <row r="470" spans="1:29" x14ac:dyDescent="0.25">
      <c r="A470" t="s">
        <v>478</v>
      </c>
      <c r="B470">
        <v>643</v>
      </c>
      <c r="C470">
        <v>576</v>
      </c>
      <c r="D470">
        <v>477</v>
      </c>
      <c r="E470">
        <f t="shared" si="56"/>
        <v>409</v>
      </c>
      <c r="F470">
        <v>340</v>
      </c>
      <c r="G470">
        <f t="shared" si="57"/>
        <v>233</v>
      </c>
      <c r="H470">
        <v>125</v>
      </c>
      <c r="I470">
        <v>643</v>
      </c>
      <c r="J470">
        <v>576</v>
      </c>
      <c r="K470">
        <v>477</v>
      </c>
      <c r="L470">
        <f t="shared" si="58"/>
        <v>409</v>
      </c>
      <c r="M470">
        <v>340</v>
      </c>
      <c r="N470">
        <f t="shared" si="59"/>
        <v>233</v>
      </c>
      <c r="O470">
        <v>125</v>
      </c>
      <c r="P470">
        <v>482</v>
      </c>
      <c r="Q470">
        <v>441</v>
      </c>
      <c r="R470">
        <v>374</v>
      </c>
      <c r="S470">
        <f t="shared" si="60"/>
        <v>325</v>
      </c>
      <c r="T470">
        <v>276</v>
      </c>
      <c r="U470">
        <f t="shared" si="61"/>
        <v>193</v>
      </c>
      <c r="V470">
        <v>109</v>
      </c>
      <c r="W470">
        <v>482</v>
      </c>
      <c r="X470">
        <v>441</v>
      </c>
      <c r="Y470">
        <v>374</v>
      </c>
      <c r="Z470">
        <f t="shared" si="62"/>
        <v>325</v>
      </c>
      <c r="AA470">
        <v>276</v>
      </c>
      <c r="AB470">
        <f t="shared" si="63"/>
        <v>193</v>
      </c>
      <c r="AC470">
        <v>109</v>
      </c>
    </row>
    <row r="471" spans="1:29" x14ac:dyDescent="0.25">
      <c r="A471" t="s">
        <v>479</v>
      </c>
      <c r="B471">
        <v>584</v>
      </c>
      <c r="C471">
        <v>525</v>
      </c>
      <c r="D471">
        <v>436</v>
      </c>
      <c r="E471">
        <f t="shared" si="56"/>
        <v>374</v>
      </c>
      <c r="F471">
        <v>312</v>
      </c>
      <c r="G471">
        <f t="shared" si="57"/>
        <v>213</v>
      </c>
      <c r="H471">
        <v>113</v>
      </c>
      <c r="I471">
        <v>584</v>
      </c>
      <c r="J471">
        <v>525</v>
      </c>
      <c r="K471">
        <v>436</v>
      </c>
      <c r="L471">
        <f t="shared" si="58"/>
        <v>374</v>
      </c>
      <c r="M471">
        <v>312</v>
      </c>
      <c r="N471">
        <f t="shared" si="59"/>
        <v>213</v>
      </c>
      <c r="O471">
        <v>113</v>
      </c>
      <c r="P471">
        <v>438</v>
      </c>
      <c r="Q471">
        <v>402</v>
      </c>
      <c r="R471">
        <v>341</v>
      </c>
      <c r="S471">
        <f t="shared" si="60"/>
        <v>297</v>
      </c>
      <c r="T471">
        <v>253</v>
      </c>
      <c r="U471">
        <f t="shared" si="61"/>
        <v>176</v>
      </c>
      <c r="V471">
        <v>99</v>
      </c>
      <c r="W471">
        <v>438</v>
      </c>
      <c r="X471">
        <v>402</v>
      </c>
      <c r="Y471">
        <v>341</v>
      </c>
      <c r="Z471">
        <f t="shared" si="62"/>
        <v>297</v>
      </c>
      <c r="AA471">
        <v>253</v>
      </c>
      <c r="AB471">
        <f t="shared" si="63"/>
        <v>176</v>
      </c>
      <c r="AC471">
        <v>99</v>
      </c>
    </row>
    <row r="472" spans="1:29" x14ac:dyDescent="0.25">
      <c r="A472" t="s">
        <v>480</v>
      </c>
      <c r="B472">
        <v>521</v>
      </c>
      <c r="C472">
        <v>471</v>
      </c>
      <c r="D472">
        <v>393</v>
      </c>
      <c r="E472">
        <f t="shared" si="56"/>
        <v>338</v>
      </c>
      <c r="F472">
        <v>282</v>
      </c>
      <c r="G472">
        <f t="shared" si="57"/>
        <v>192</v>
      </c>
      <c r="H472">
        <v>102</v>
      </c>
      <c r="I472">
        <v>521</v>
      </c>
      <c r="J472">
        <v>471</v>
      </c>
      <c r="K472">
        <v>393</v>
      </c>
      <c r="L472">
        <f t="shared" si="58"/>
        <v>338</v>
      </c>
      <c r="M472">
        <v>282</v>
      </c>
      <c r="N472">
        <f t="shared" si="59"/>
        <v>192</v>
      </c>
      <c r="O472">
        <v>102</v>
      </c>
      <c r="P472">
        <v>390</v>
      </c>
      <c r="Q472">
        <v>360</v>
      </c>
      <c r="R472">
        <v>308</v>
      </c>
      <c r="S472">
        <f t="shared" si="60"/>
        <v>269</v>
      </c>
      <c r="T472">
        <v>229</v>
      </c>
      <c r="U472">
        <f t="shared" si="61"/>
        <v>159</v>
      </c>
      <c r="V472">
        <v>88</v>
      </c>
      <c r="W472">
        <v>390</v>
      </c>
      <c r="X472">
        <v>360</v>
      </c>
      <c r="Y472">
        <v>308</v>
      </c>
      <c r="Z472">
        <f t="shared" si="62"/>
        <v>269</v>
      </c>
      <c r="AA472">
        <v>229</v>
      </c>
      <c r="AB472">
        <f t="shared" si="63"/>
        <v>159</v>
      </c>
      <c r="AC472">
        <v>88</v>
      </c>
    </row>
    <row r="473" spans="1:29" x14ac:dyDescent="0.25">
      <c r="A473" t="s">
        <v>481</v>
      </c>
      <c r="B473">
        <v>798</v>
      </c>
      <c r="C473">
        <v>706</v>
      </c>
      <c r="D473">
        <v>566</v>
      </c>
      <c r="E473">
        <f t="shared" si="56"/>
        <v>481</v>
      </c>
      <c r="F473">
        <v>395</v>
      </c>
      <c r="G473">
        <f t="shared" si="57"/>
        <v>270</v>
      </c>
      <c r="H473">
        <v>145</v>
      </c>
      <c r="I473">
        <v>798</v>
      </c>
      <c r="J473">
        <v>706</v>
      </c>
      <c r="K473">
        <v>566</v>
      </c>
      <c r="L473">
        <f t="shared" si="58"/>
        <v>481</v>
      </c>
      <c r="M473">
        <v>395</v>
      </c>
      <c r="N473">
        <f t="shared" si="59"/>
        <v>270</v>
      </c>
      <c r="O473">
        <v>145</v>
      </c>
      <c r="P473">
        <v>599</v>
      </c>
      <c r="Q473">
        <v>540</v>
      </c>
      <c r="R473">
        <v>443</v>
      </c>
      <c r="S473">
        <f t="shared" si="60"/>
        <v>382</v>
      </c>
      <c r="T473">
        <v>321</v>
      </c>
      <c r="U473">
        <f t="shared" si="61"/>
        <v>224</v>
      </c>
      <c r="V473">
        <v>126</v>
      </c>
      <c r="W473">
        <v>599</v>
      </c>
      <c r="X473">
        <v>540</v>
      </c>
      <c r="Y473">
        <v>443</v>
      </c>
      <c r="Z473">
        <f t="shared" si="62"/>
        <v>382</v>
      </c>
      <c r="AA473">
        <v>321</v>
      </c>
      <c r="AB473">
        <f t="shared" si="63"/>
        <v>224</v>
      </c>
      <c r="AC473">
        <v>126</v>
      </c>
    </row>
    <row r="474" spans="1:29" x14ac:dyDescent="0.25">
      <c r="A474" t="s">
        <v>482</v>
      </c>
      <c r="B474">
        <v>744</v>
      </c>
      <c r="C474">
        <v>661</v>
      </c>
      <c r="D474">
        <v>540</v>
      </c>
      <c r="E474">
        <f t="shared" si="56"/>
        <v>458</v>
      </c>
      <c r="F474">
        <v>375</v>
      </c>
      <c r="G474">
        <f t="shared" si="57"/>
        <v>256</v>
      </c>
      <c r="H474">
        <v>137</v>
      </c>
      <c r="I474">
        <v>744</v>
      </c>
      <c r="J474">
        <v>661</v>
      </c>
      <c r="K474">
        <v>540</v>
      </c>
      <c r="L474">
        <f t="shared" si="58"/>
        <v>458</v>
      </c>
      <c r="M474">
        <v>375</v>
      </c>
      <c r="N474">
        <f t="shared" si="59"/>
        <v>256</v>
      </c>
      <c r="O474">
        <v>137</v>
      </c>
      <c r="P474">
        <v>558</v>
      </c>
      <c r="Q474">
        <v>506</v>
      </c>
      <c r="R474">
        <v>423</v>
      </c>
      <c r="S474">
        <f t="shared" si="60"/>
        <v>364</v>
      </c>
      <c r="T474">
        <v>304</v>
      </c>
      <c r="U474">
        <f t="shared" si="61"/>
        <v>212</v>
      </c>
      <c r="V474">
        <v>120</v>
      </c>
      <c r="W474">
        <v>558</v>
      </c>
      <c r="X474">
        <v>506</v>
      </c>
      <c r="Y474">
        <v>423</v>
      </c>
      <c r="Z474">
        <f t="shared" si="62"/>
        <v>364</v>
      </c>
      <c r="AA474">
        <v>304</v>
      </c>
      <c r="AB474">
        <f t="shared" si="63"/>
        <v>212</v>
      </c>
      <c r="AC474">
        <v>120</v>
      </c>
    </row>
    <row r="475" spans="1:29" x14ac:dyDescent="0.25">
      <c r="A475" t="s">
        <v>483</v>
      </c>
      <c r="B475">
        <v>690</v>
      </c>
      <c r="C475">
        <v>616</v>
      </c>
      <c r="D475">
        <v>505</v>
      </c>
      <c r="E475">
        <f t="shared" si="56"/>
        <v>430</v>
      </c>
      <c r="F475">
        <v>354</v>
      </c>
      <c r="G475">
        <f t="shared" si="57"/>
        <v>242</v>
      </c>
      <c r="H475">
        <v>129</v>
      </c>
      <c r="I475">
        <v>690</v>
      </c>
      <c r="J475">
        <v>616</v>
      </c>
      <c r="K475">
        <v>505</v>
      </c>
      <c r="L475">
        <f t="shared" si="58"/>
        <v>430</v>
      </c>
      <c r="M475">
        <v>354</v>
      </c>
      <c r="N475">
        <f t="shared" si="59"/>
        <v>242</v>
      </c>
      <c r="O475">
        <v>129</v>
      </c>
      <c r="P475">
        <v>517</v>
      </c>
      <c r="Q475">
        <v>471</v>
      </c>
      <c r="R475">
        <v>395</v>
      </c>
      <c r="S475">
        <f t="shared" si="60"/>
        <v>341</v>
      </c>
      <c r="T475">
        <v>287</v>
      </c>
      <c r="U475">
        <f t="shared" si="61"/>
        <v>200</v>
      </c>
      <c r="V475">
        <v>112</v>
      </c>
      <c r="W475">
        <v>517</v>
      </c>
      <c r="X475">
        <v>471</v>
      </c>
      <c r="Y475">
        <v>395</v>
      </c>
      <c r="Z475">
        <f t="shared" si="62"/>
        <v>341</v>
      </c>
      <c r="AA475">
        <v>287</v>
      </c>
      <c r="AB475">
        <f t="shared" si="63"/>
        <v>200</v>
      </c>
      <c r="AC475">
        <v>112</v>
      </c>
    </row>
    <row r="476" spans="1:29" x14ac:dyDescent="0.25">
      <c r="A476" t="s">
        <v>484</v>
      </c>
      <c r="B476">
        <v>635</v>
      </c>
      <c r="C476">
        <v>569</v>
      </c>
      <c r="D476">
        <v>470</v>
      </c>
      <c r="E476">
        <f t="shared" si="56"/>
        <v>403</v>
      </c>
      <c r="F476">
        <v>335</v>
      </c>
      <c r="G476">
        <f t="shared" si="57"/>
        <v>229</v>
      </c>
      <c r="H476">
        <v>123</v>
      </c>
      <c r="I476">
        <v>635</v>
      </c>
      <c r="J476">
        <v>569</v>
      </c>
      <c r="K476">
        <v>470</v>
      </c>
      <c r="L476">
        <f t="shared" si="58"/>
        <v>403</v>
      </c>
      <c r="M476">
        <v>335</v>
      </c>
      <c r="N476">
        <f t="shared" si="59"/>
        <v>229</v>
      </c>
      <c r="O476">
        <v>123</v>
      </c>
      <c r="P476">
        <v>476</v>
      </c>
      <c r="Q476">
        <v>435</v>
      </c>
      <c r="R476">
        <v>368</v>
      </c>
      <c r="S476">
        <f t="shared" si="60"/>
        <v>320</v>
      </c>
      <c r="T476">
        <v>272</v>
      </c>
      <c r="U476">
        <f t="shared" si="61"/>
        <v>190</v>
      </c>
      <c r="V476">
        <v>107</v>
      </c>
      <c r="W476">
        <v>476</v>
      </c>
      <c r="X476">
        <v>435</v>
      </c>
      <c r="Y476">
        <v>368</v>
      </c>
      <c r="Z476">
        <f t="shared" si="62"/>
        <v>320</v>
      </c>
      <c r="AA476">
        <v>272</v>
      </c>
      <c r="AB476">
        <f t="shared" si="63"/>
        <v>190</v>
      </c>
      <c r="AC476">
        <v>107</v>
      </c>
    </row>
    <row r="477" spans="1:29" x14ac:dyDescent="0.25">
      <c r="A477" t="s">
        <v>485</v>
      </c>
      <c r="B477">
        <v>579</v>
      </c>
      <c r="C477">
        <v>521</v>
      </c>
      <c r="D477">
        <v>433</v>
      </c>
      <c r="E477">
        <f t="shared" si="56"/>
        <v>372</v>
      </c>
      <c r="F477">
        <v>311</v>
      </c>
      <c r="G477">
        <f t="shared" si="57"/>
        <v>212</v>
      </c>
      <c r="H477">
        <v>113</v>
      </c>
      <c r="I477">
        <v>579</v>
      </c>
      <c r="J477">
        <v>521</v>
      </c>
      <c r="K477">
        <v>433</v>
      </c>
      <c r="L477">
        <f t="shared" si="58"/>
        <v>372</v>
      </c>
      <c r="M477">
        <v>311</v>
      </c>
      <c r="N477">
        <f t="shared" si="59"/>
        <v>212</v>
      </c>
      <c r="O477">
        <v>113</v>
      </c>
      <c r="P477">
        <v>434</v>
      </c>
      <c r="Q477">
        <v>399</v>
      </c>
      <c r="R477">
        <v>339</v>
      </c>
      <c r="S477">
        <f t="shared" si="60"/>
        <v>296</v>
      </c>
      <c r="T477">
        <v>253</v>
      </c>
      <c r="U477">
        <f t="shared" si="61"/>
        <v>176</v>
      </c>
      <c r="V477">
        <v>99</v>
      </c>
      <c r="W477">
        <v>434</v>
      </c>
      <c r="X477">
        <v>399</v>
      </c>
      <c r="Y477">
        <v>339</v>
      </c>
      <c r="Z477">
        <f t="shared" si="62"/>
        <v>296</v>
      </c>
      <c r="AA477">
        <v>253</v>
      </c>
      <c r="AB477">
        <f t="shared" si="63"/>
        <v>176</v>
      </c>
      <c r="AC477">
        <v>99</v>
      </c>
    </row>
    <row r="478" spans="1:29" x14ac:dyDescent="0.25">
      <c r="A478" t="s">
        <v>486</v>
      </c>
      <c r="B478">
        <v>516</v>
      </c>
      <c r="C478">
        <v>466</v>
      </c>
      <c r="D478">
        <v>389</v>
      </c>
      <c r="E478">
        <f t="shared" si="56"/>
        <v>335</v>
      </c>
      <c r="F478">
        <v>281</v>
      </c>
      <c r="G478">
        <f t="shared" si="57"/>
        <v>192</v>
      </c>
      <c r="H478">
        <v>102</v>
      </c>
      <c r="I478">
        <v>516</v>
      </c>
      <c r="J478">
        <v>466</v>
      </c>
      <c r="K478">
        <v>389</v>
      </c>
      <c r="L478">
        <f t="shared" si="58"/>
        <v>335</v>
      </c>
      <c r="M478">
        <v>281</v>
      </c>
      <c r="N478">
        <f t="shared" si="59"/>
        <v>192</v>
      </c>
      <c r="O478">
        <v>102</v>
      </c>
      <c r="P478">
        <v>387</v>
      </c>
      <c r="Q478">
        <v>357</v>
      </c>
      <c r="R478">
        <v>305</v>
      </c>
      <c r="S478">
        <f t="shared" si="60"/>
        <v>267</v>
      </c>
      <c r="T478">
        <v>228</v>
      </c>
      <c r="U478">
        <f t="shared" si="61"/>
        <v>158</v>
      </c>
      <c r="V478">
        <v>88</v>
      </c>
      <c r="W478">
        <v>387</v>
      </c>
      <c r="X478">
        <v>357</v>
      </c>
      <c r="Y478">
        <v>305</v>
      </c>
      <c r="Z478">
        <f t="shared" si="62"/>
        <v>267</v>
      </c>
      <c r="AA478">
        <v>228</v>
      </c>
      <c r="AB478">
        <f t="shared" si="63"/>
        <v>158</v>
      </c>
      <c r="AC478">
        <v>88</v>
      </c>
    </row>
    <row r="479" spans="1:29" x14ac:dyDescent="0.25">
      <c r="A479" t="s">
        <v>487</v>
      </c>
      <c r="B479">
        <v>450</v>
      </c>
      <c r="C479">
        <v>409</v>
      </c>
      <c r="D479">
        <v>343</v>
      </c>
      <c r="E479">
        <f t="shared" si="56"/>
        <v>297</v>
      </c>
      <c r="F479">
        <v>250</v>
      </c>
      <c r="G479">
        <f t="shared" si="57"/>
        <v>171</v>
      </c>
      <c r="H479">
        <v>91</v>
      </c>
      <c r="I479">
        <v>450</v>
      </c>
      <c r="J479">
        <v>409</v>
      </c>
      <c r="K479">
        <v>343</v>
      </c>
      <c r="L479">
        <f t="shared" si="58"/>
        <v>297</v>
      </c>
      <c r="M479">
        <v>250</v>
      </c>
      <c r="N479">
        <f t="shared" si="59"/>
        <v>171</v>
      </c>
      <c r="O479">
        <v>91</v>
      </c>
      <c r="P479">
        <v>338</v>
      </c>
      <c r="Q479">
        <v>313</v>
      </c>
      <c r="R479">
        <v>269</v>
      </c>
      <c r="S479">
        <f t="shared" si="60"/>
        <v>236</v>
      </c>
      <c r="T479">
        <v>203</v>
      </c>
      <c r="U479">
        <f t="shared" si="61"/>
        <v>141</v>
      </c>
      <c r="V479">
        <v>79</v>
      </c>
      <c r="W479">
        <v>338</v>
      </c>
      <c r="X479">
        <v>313</v>
      </c>
      <c r="Y479">
        <v>269</v>
      </c>
      <c r="Z479">
        <f t="shared" si="62"/>
        <v>236</v>
      </c>
      <c r="AA479">
        <v>203</v>
      </c>
      <c r="AB479">
        <f t="shared" si="63"/>
        <v>141</v>
      </c>
      <c r="AC479">
        <v>79</v>
      </c>
    </row>
    <row r="480" spans="1:29" x14ac:dyDescent="0.25">
      <c r="A480" t="s">
        <v>488</v>
      </c>
      <c r="B480">
        <v>735</v>
      </c>
      <c r="C480">
        <v>652</v>
      </c>
      <c r="D480">
        <v>533</v>
      </c>
      <c r="E480">
        <f t="shared" si="56"/>
        <v>451</v>
      </c>
      <c r="F480">
        <v>369</v>
      </c>
      <c r="G480">
        <f t="shared" si="57"/>
        <v>252</v>
      </c>
      <c r="H480">
        <v>135</v>
      </c>
      <c r="I480">
        <v>735</v>
      </c>
      <c r="J480">
        <v>652</v>
      </c>
      <c r="K480">
        <v>533</v>
      </c>
      <c r="L480">
        <f t="shared" si="58"/>
        <v>451</v>
      </c>
      <c r="M480">
        <v>369</v>
      </c>
      <c r="N480">
        <f t="shared" si="59"/>
        <v>252</v>
      </c>
      <c r="O480">
        <v>135</v>
      </c>
      <c r="P480">
        <v>551</v>
      </c>
      <c r="Q480">
        <v>499</v>
      </c>
      <c r="R480">
        <v>417</v>
      </c>
      <c r="S480">
        <f t="shared" si="60"/>
        <v>358</v>
      </c>
      <c r="T480">
        <v>299</v>
      </c>
      <c r="U480">
        <f t="shared" si="61"/>
        <v>208</v>
      </c>
      <c r="V480">
        <v>117</v>
      </c>
      <c r="W480">
        <v>551</v>
      </c>
      <c r="X480">
        <v>499</v>
      </c>
      <c r="Y480">
        <v>417</v>
      </c>
      <c r="Z480">
        <f t="shared" si="62"/>
        <v>358</v>
      </c>
      <c r="AA480">
        <v>299</v>
      </c>
      <c r="AB480">
        <f t="shared" si="63"/>
        <v>208</v>
      </c>
      <c r="AC480">
        <v>117</v>
      </c>
    </row>
    <row r="481" spans="1:29" x14ac:dyDescent="0.25">
      <c r="A481" t="s">
        <v>489</v>
      </c>
      <c r="B481">
        <v>682</v>
      </c>
      <c r="C481">
        <v>606</v>
      </c>
      <c r="D481">
        <v>498</v>
      </c>
      <c r="E481">
        <f t="shared" si="56"/>
        <v>423</v>
      </c>
      <c r="F481">
        <v>347</v>
      </c>
      <c r="G481">
        <f t="shared" si="57"/>
        <v>237</v>
      </c>
      <c r="H481">
        <v>127</v>
      </c>
      <c r="I481">
        <v>682</v>
      </c>
      <c r="J481">
        <v>606</v>
      </c>
      <c r="K481">
        <v>498</v>
      </c>
      <c r="L481">
        <f t="shared" si="58"/>
        <v>423</v>
      </c>
      <c r="M481">
        <v>347</v>
      </c>
      <c r="N481">
        <f t="shared" si="59"/>
        <v>237</v>
      </c>
      <c r="O481">
        <v>127</v>
      </c>
      <c r="P481">
        <v>511</v>
      </c>
      <c r="Q481">
        <v>464</v>
      </c>
      <c r="R481">
        <v>390</v>
      </c>
      <c r="S481">
        <f t="shared" si="60"/>
        <v>336</v>
      </c>
      <c r="T481">
        <v>282</v>
      </c>
      <c r="U481">
        <f t="shared" si="61"/>
        <v>197</v>
      </c>
      <c r="V481">
        <v>111</v>
      </c>
      <c r="W481">
        <v>511</v>
      </c>
      <c r="X481">
        <v>464</v>
      </c>
      <c r="Y481">
        <v>390</v>
      </c>
      <c r="Z481">
        <f t="shared" si="62"/>
        <v>336</v>
      </c>
      <c r="AA481">
        <v>282</v>
      </c>
      <c r="AB481">
        <f t="shared" si="63"/>
        <v>197</v>
      </c>
      <c r="AC481">
        <v>111</v>
      </c>
    </row>
    <row r="482" spans="1:29" x14ac:dyDescent="0.25">
      <c r="A482" t="s">
        <v>490</v>
      </c>
      <c r="B482">
        <v>627</v>
      </c>
      <c r="C482">
        <v>561</v>
      </c>
      <c r="D482">
        <v>463</v>
      </c>
      <c r="E482">
        <f t="shared" si="56"/>
        <v>397</v>
      </c>
      <c r="F482">
        <v>330</v>
      </c>
      <c r="G482">
        <f t="shared" si="57"/>
        <v>226</v>
      </c>
      <c r="H482">
        <v>122</v>
      </c>
      <c r="I482">
        <v>627</v>
      </c>
      <c r="J482">
        <v>561</v>
      </c>
      <c r="K482">
        <v>463</v>
      </c>
      <c r="L482">
        <f t="shared" si="58"/>
        <v>397</v>
      </c>
      <c r="M482">
        <v>330</v>
      </c>
      <c r="N482">
        <f t="shared" si="59"/>
        <v>226</v>
      </c>
      <c r="O482">
        <v>122</v>
      </c>
      <c r="P482">
        <v>470</v>
      </c>
      <c r="Q482">
        <v>429</v>
      </c>
      <c r="R482">
        <v>362</v>
      </c>
      <c r="S482">
        <f t="shared" si="60"/>
        <v>315</v>
      </c>
      <c r="T482">
        <v>268</v>
      </c>
      <c r="U482">
        <f t="shared" si="61"/>
        <v>187</v>
      </c>
      <c r="V482">
        <v>106</v>
      </c>
      <c r="W482">
        <v>470</v>
      </c>
      <c r="X482">
        <v>429</v>
      </c>
      <c r="Y482">
        <v>362</v>
      </c>
      <c r="Z482">
        <f t="shared" si="62"/>
        <v>315</v>
      </c>
      <c r="AA482">
        <v>268</v>
      </c>
      <c r="AB482">
        <f t="shared" si="63"/>
        <v>187</v>
      </c>
      <c r="AC482">
        <v>106</v>
      </c>
    </row>
    <row r="483" spans="1:29" x14ac:dyDescent="0.25">
      <c r="A483" t="s">
        <v>491</v>
      </c>
      <c r="B483">
        <v>570</v>
      </c>
      <c r="C483">
        <v>513</v>
      </c>
      <c r="D483">
        <v>426</v>
      </c>
      <c r="E483">
        <f t="shared" si="56"/>
        <v>366</v>
      </c>
      <c r="F483">
        <v>306</v>
      </c>
      <c r="G483">
        <f t="shared" si="57"/>
        <v>210</v>
      </c>
      <c r="H483">
        <v>113</v>
      </c>
      <c r="I483">
        <v>570</v>
      </c>
      <c r="J483">
        <v>513</v>
      </c>
      <c r="K483">
        <v>426</v>
      </c>
      <c r="L483">
        <f t="shared" si="58"/>
        <v>366</v>
      </c>
      <c r="M483">
        <v>306</v>
      </c>
      <c r="N483">
        <f t="shared" si="59"/>
        <v>210</v>
      </c>
      <c r="O483">
        <v>113</v>
      </c>
      <c r="P483">
        <v>428</v>
      </c>
      <c r="Q483">
        <v>392</v>
      </c>
      <c r="R483">
        <v>333</v>
      </c>
      <c r="S483">
        <f t="shared" si="60"/>
        <v>291</v>
      </c>
      <c r="T483">
        <v>248</v>
      </c>
      <c r="U483">
        <f t="shared" si="61"/>
        <v>174</v>
      </c>
      <c r="V483">
        <v>99</v>
      </c>
      <c r="W483">
        <v>428</v>
      </c>
      <c r="X483">
        <v>392</v>
      </c>
      <c r="Y483">
        <v>333</v>
      </c>
      <c r="Z483">
        <f t="shared" si="62"/>
        <v>291</v>
      </c>
      <c r="AA483">
        <v>248</v>
      </c>
      <c r="AB483">
        <f t="shared" si="63"/>
        <v>174</v>
      </c>
      <c r="AC483">
        <v>99</v>
      </c>
    </row>
    <row r="484" spans="1:29" x14ac:dyDescent="0.25">
      <c r="A484" t="s">
        <v>492</v>
      </c>
      <c r="B484">
        <v>511</v>
      </c>
      <c r="C484">
        <v>461</v>
      </c>
      <c r="D484">
        <v>385</v>
      </c>
      <c r="E484">
        <f t="shared" si="56"/>
        <v>332</v>
      </c>
      <c r="F484">
        <v>278</v>
      </c>
      <c r="G484">
        <f t="shared" si="57"/>
        <v>190</v>
      </c>
      <c r="H484">
        <v>102</v>
      </c>
      <c r="I484">
        <v>511</v>
      </c>
      <c r="J484">
        <v>461</v>
      </c>
      <c r="K484">
        <v>385</v>
      </c>
      <c r="L484">
        <f t="shared" si="58"/>
        <v>332</v>
      </c>
      <c r="M484">
        <v>278</v>
      </c>
      <c r="N484">
        <f t="shared" si="59"/>
        <v>190</v>
      </c>
      <c r="O484">
        <v>102</v>
      </c>
      <c r="P484">
        <v>383</v>
      </c>
      <c r="Q484">
        <v>353</v>
      </c>
      <c r="R484">
        <v>301</v>
      </c>
      <c r="S484">
        <f t="shared" si="60"/>
        <v>264</v>
      </c>
      <c r="T484">
        <v>226</v>
      </c>
      <c r="U484">
        <f t="shared" si="61"/>
        <v>157</v>
      </c>
      <c r="V484">
        <v>88</v>
      </c>
      <c r="W484">
        <v>383</v>
      </c>
      <c r="X484">
        <v>353</v>
      </c>
      <c r="Y484">
        <v>301</v>
      </c>
      <c r="Z484">
        <f t="shared" si="62"/>
        <v>264</v>
      </c>
      <c r="AA484">
        <v>226</v>
      </c>
      <c r="AB484">
        <f t="shared" si="63"/>
        <v>157</v>
      </c>
      <c r="AC484">
        <v>88</v>
      </c>
    </row>
    <row r="485" spans="1:29" x14ac:dyDescent="0.25">
      <c r="A485" t="s">
        <v>493</v>
      </c>
      <c r="B485">
        <v>446</v>
      </c>
      <c r="C485">
        <v>405</v>
      </c>
      <c r="D485">
        <v>341</v>
      </c>
      <c r="E485">
        <f t="shared" si="56"/>
        <v>294</v>
      </c>
      <c r="F485">
        <v>247</v>
      </c>
      <c r="G485">
        <f t="shared" si="57"/>
        <v>169</v>
      </c>
      <c r="H485">
        <v>91</v>
      </c>
      <c r="I485">
        <v>446</v>
      </c>
      <c r="J485">
        <v>405</v>
      </c>
      <c r="K485">
        <v>341</v>
      </c>
      <c r="L485">
        <f t="shared" si="58"/>
        <v>294</v>
      </c>
      <c r="M485">
        <v>247</v>
      </c>
      <c r="N485">
        <f t="shared" si="59"/>
        <v>169</v>
      </c>
      <c r="O485">
        <v>91</v>
      </c>
      <c r="P485">
        <v>334</v>
      </c>
      <c r="Q485">
        <v>310</v>
      </c>
      <c r="R485">
        <v>267</v>
      </c>
      <c r="S485">
        <f t="shared" si="60"/>
        <v>234</v>
      </c>
      <c r="T485">
        <v>201</v>
      </c>
      <c r="U485">
        <f t="shared" si="61"/>
        <v>140</v>
      </c>
      <c r="V485">
        <v>79</v>
      </c>
      <c r="W485">
        <v>334</v>
      </c>
      <c r="X485">
        <v>310</v>
      </c>
      <c r="Y485">
        <v>267</v>
      </c>
      <c r="Z485">
        <f t="shared" si="62"/>
        <v>234</v>
      </c>
      <c r="AA485">
        <v>201</v>
      </c>
      <c r="AB485">
        <f t="shared" si="63"/>
        <v>140</v>
      </c>
      <c r="AC485">
        <v>79</v>
      </c>
    </row>
    <row r="486" spans="1:29" x14ac:dyDescent="0.25">
      <c r="A486" t="s">
        <v>494</v>
      </c>
      <c r="B486">
        <v>672</v>
      </c>
      <c r="C486">
        <v>598</v>
      </c>
      <c r="D486">
        <v>490</v>
      </c>
      <c r="E486">
        <f t="shared" si="56"/>
        <v>416</v>
      </c>
      <c r="F486">
        <v>342</v>
      </c>
      <c r="G486">
        <f t="shared" si="57"/>
        <v>234</v>
      </c>
      <c r="H486">
        <v>125</v>
      </c>
      <c r="I486">
        <v>672</v>
      </c>
      <c r="J486">
        <v>598</v>
      </c>
      <c r="K486">
        <v>490</v>
      </c>
      <c r="L486">
        <f t="shared" si="58"/>
        <v>416</v>
      </c>
      <c r="M486">
        <v>342</v>
      </c>
      <c r="N486">
        <f t="shared" si="59"/>
        <v>234</v>
      </c>
      <c r="O486">
        <v>125</v>
      </c>
      <c r="P486">
        <v>504</v>
      </c>
      <c r="Q486">
        <v>458</v>
      </c>
      <c r="R486">
        <v>384</v>
      </c>
      <c r="S486">
        <f t="shared" si="60"/>
        <v>331</v>
      </c>
      <c r="T486">
        <v>278</v>
      </c>
      <c r="U486">
        <f t="shared" si="61"/>
        <v>194</v>
      </c>
      <c r="V486">
        <v>109</v>
      </c>
      <c r="W486">
        <v>504</v>
      </c>
      <c r="X486">
        <v>458</v>
      </c>
      <c r="Y486">
        <v>384</v>
      </c>
      <c r="Z486">
        <f t="shared" si="62"/>
        <v>331</v>
      </c>
      <c r="AA486">
        <v>278</v>
      </c>
      <c r="AB486">
        <f t="shared" si="63"/>
        <v>194</v>
      </c>
      <c r="AC486">
        <v>109</v>
      </c>
    </row>
    <row r="487" spans="1:29" x14ac:dyDescent="0.25">
      <c r="A487" t="s">
        <v>495</v>
      </c>
      <c r="B487">
        <v>617</v>
      </c>
      <c r="C487">
        <v>551</v>
      </c>
      <c r="D487">
        <v>455</v>
      </c>
      <c r="E487">
        <f t="shared" si="56"/>
        <v>390</v>
      </c>
      <c r="F487">
        <v>325</v>
      </c>
      <c r="G487">
        <f t="shared" si="57"/>
        <v>222</v>
      </c>
      <c r="H487">
        <v>119</v>
      </c>
      <c r="I487">
        <v>617</v>
      </c>
      <c r="J487">
        <v>551</v>
      </c>
      <c r="K487">
        <v>455</v>
      </c>
      <c r="L487">
        <f t="shared" si="58"/>
        <v>390</v>
      </c>
      <c r="M487">
        <v>325</v>
      </c>
      <c r="N487">
        <f t="shared" si="59"/>
        <v>222</v>
      </c>
      <c r="O487">
        <v>119</v>
      </c>
      <c r="P487">
        <v>462</v>
      </c>
      <c r="Q487">
        <v>422</v>
      </c>
      <c r="R487">
        <v>356</v>
      </c>
      <c r="S487">
        <f t="shared" si="60"/>
        <v>310</v>
      </c>
      <c r="T487">
        <v>264</v>
      </c>
      <c r="U487">
        <f t="shared" si="61"/>
        <v>184</v>
      </c>
      <c r="V487">
        <v>104</v>
      </c>
      <c r="W487">
        <v>462</v>
      </c>
      <c r="X487">
        <v>422</v>
      </c>
      <c r="Y487">
        <v>356</v>
      </c>
      <c r="Z487">
        <f t="shared" si="62"/>
        <v>310</v>
      </c>
      <c r="AA487">
        <v>264</v>
      </c>
      <c r="AB487">
        <f t="shared" si="63"/>
        <v>184</v>
      </c>
      <c r="AC487">
        <v>104</v>
      </c>
    </row>
    <row r="488" spans="1:29" x14ac:dyDescent="0.25">
      <c r="A488" t="s">
        <v>496</v>
      </c>
      <c r="B488">
        <v>562</v>
      </c>
      <c r="C488">
        <v>505</v>
      </c>
      <c r="D488">
        <v>419</v>
      </c>
      <c r="E488">
        <f t="shared" si="56"/>
        <v>360</v>
      </c>
      <c r="F488">
        <v>301</v>
      </c>
      <c r="G488">
        <f t="shared" si="57"/>
        <v>206</v>
      </c>
      <c r="H488">
        <v>111</v>
      </c>
      <c r="I488">
        <v>562</v>
      </c>
      <c r="J488">
        <v>505</v>
      </c>
      <c r="K488">
        <v>419</v>
      </c>
      <c r="L488">
        <f t="shared" si="58"/>
        <v>360</v>
      </c>
      <c r="M488">
        <v>301</v>
      </c>
      <c r="N488">
        <f t="shared" si="59"/>
        <v>206</v>
      </c>
      <c r="O488">
        <v>111</v>
      </c>
      <c r="P488">
        <v>421</v>
      </c>
      <c r="Q488">
        <v>386</v>
      </c>
      <c r="R488">
        <v>328</v>
      </c>
      <c r="S488">
        <f t="shared" si="60"/>
        <v>286</v>
      </c>
      <c r="T488">
        <v>244</v>
      </c>
      <c r="U488">
        <f t="shared" si="61"/>
        <v>170</v>
      </c>
      <c r="V488">
        <v>96</v>
      </c>
      <c r="W488">
        <v>421</v>
      </c>
      <c r="X488">
        <v>386</v>
      </c>
      <c r="Y488">
        <v>328</v>
      </c>
      <c r="Z488">
        <f t="shared" si="62"/>
        <v>286</v>
      </c>
      <c r="AA488">
        <v>244</v>
      </c>
      <c r="AB488">
        <f t="shared" si="63"/>
        <v>170</v>
      </c>
      <c r="AC488">
        <v>96</v>
      </c>
    </row>
    <row r="489" spans="1:29" x14ac:dyDescent="0.25">
      <c r="A489" t="s">
        <v>497</v>
      </c>
      <c r="B489">
        <v>503</v>
      </c>
      <c r="C489">
        <v>455</v>
      </c>
      <c r="D489">
        <v>380</v>
      </c>
      <c r="E489">
        <f t="shared" si="56"/>
        <v>328</v>
      </c>
      <c r="F489">
        <v>275</v>
      </c>
      <c r="G489">
        <f t="shared" si="57"/>
        <v>189</v>
      </c>
      <c r="H489">
        <v>102</v>
      </c>
      <c r="I489">
        <v>503</v>
      </c>
      <c r="J489">
        <v>455</v>
      </c>
      <c r="K489">
        <v>380</v>
      </c>
      <c r="L489">
        <f t="shared" si="58"/>
        <v>328</v>
      </c>
      <c r="M489">
        <v>275</v>
      </c>
      <c r="N489">
        <f t="shared" si="59"/>
        <v>189</v>
      </c>
      <c r="O489">
        <v>102</v>
      </c>
      <c r="P489">
        <v>377</v>
      </c>
      <c r="Q489">
        <v>348</v>
      </c>
      <c r="R489">
        <v>297</v>
      </c>
      <c r="S489">
        <f t="shared" si="60"/>
        <v>260</v>
      </c>
      <c r="T489">
        <v>223</v>
      </c>
      <c r="U489">
        <f t="shared" si="61"/>
        <v>156</v>
      </c>
      <c r="V489">
        <v>88</v>
      </c>
      <c r="W489">
        <v>377</v>
      </c>
      <c r="X489">
        <v>348</v>
      </c>
      <c r="Y489">
        <v>297</v>
      </c>
      <c r="Z489">
        <f t="shared" si="62"/>
        <v>260</v>
      </c>
      <c r="AA489">
        <v>223</v>
      </c>
      <c r="AB489">
        <f t="shared" si="63"/>
        <v>156</v>
      </c>
      <c r="AC489">
        <v>88</v>
      </c>
    </row>
    <row r="490" spans="1:29" x14ac:dyDescent="0.25">
      <c r="A490" t="s">
        <v>498</v>
      </c>
      <c r="B490">
        <v>440</v>
      </c>
      <c r="C490">
        <v>400</v>
      </c>
      <c r="D490">
        <v>336</v>
      </c>
      <c r="E490">
        <f t="shared" si="56"/>
        <v>290</v>
      </c>
      <c r="F490">
        <v>244</v>
      </c>
      <c r="G490">
        <f t="shared" si="57"/>
        <v>167</v>
      </c>
      <c r="H490">
        <v>90</v>
      </c>
      <c r="I490">
        <v>440</v>
      </c>
      <c r="J490">
        <v>400</v>
      </c>
      <c r="K490">
        <v>336</v>
      </c>
      <c r="L490">
        <f t="shared" si="58"/>
        <v>290</v>
      </c>
      <c r="M490">
        <v>244</v>
      </c>
      <c r="N490">
        <f t="shared" si="59"/>
        <v>167</v>
      </c>
      <c r="O490">
        <v>90</v>
      </c>
      <c r="P490">
        <v>330</v>
      </c>
      <c r="Q490">
        <v>306</v>
      </c>
      <c r="R490">
        <v>263</v>
      </c>
      <c r="S490">
        <f t="shared" si="60"/>
        <v>231</v>
      </c>
      <c r="T490">
        <v>199</v>
      </c>
      <c r="U490">
        <f t="shared" si="61"/>
        <v>139</v>
      </c>
      <c r="V490">
        <v>78</v>
      </c>
      <c r="W490">
        <v>330</v>
      </c>
      <c r="X490">
        <v>306</v>
      </c>
      <c r="Y490">
        <v>263</v>
      </c>
      <c r="Z490">
        <f t="shared" si="62"/>
        <v>231</v>
      </c>
      <c r="AA490">
        <v>199</v>
      </c>
      <c r="AB490">
        <f t="shared" si="63"/>
        <v>139</v>
      </c>
      <c r="AC490">
        <v>78</v>
      </c>
    </row>
    <row r="491" spans="1:29" x14ac:dyDescent="0.25">
      <c r="A491" t="s">
        <v>499</v>
      </c>
      <c r="B491">
        <v>607</v>
      </c>
      <c r="C491">
        <v>542</v>
      </c>
      <c r="D491">
        <v>447</v>
      </c>
      <c r="E491">
        <f t="shared" si="56"/>
        <v>383</v>
      </c>
      <c r="F491">
        <v>318</v>
      </c>
      <c r="G491">
        <f t="shared" si="57"/>
        <v>218</v>
      </c>
      <c r="H491">
        <v>117</v>
      </c>
      <c r="I491">
        <v>607</v>
      </c>
      <c r="J491">
        <v>542</v>
      </c>
      <c r="K491">
        <v>447</v>
      </c>
      <c r="L491">
        <f t="shared" si="58"/>
        <v>383</v>
      </c>
      <c r="M491">
        <v>318</v>
      </c>
      <c r="N491">
        <f t="shared" si="59"/>
        <v>218</v>
      </c>
      <c r="O491">
        <v>117</v>
      </c>
      <c r="P491">
        <v>455</v>
      </c>
      <c r="Q491">
        <v>415</v>
      </c>
      <c r="R491">
        <v>350</v>
      </c>
      <c r="S491">
        <f t="shared" si="60"/>
        <v>305</v>
      </c>
      <c r="T491">
        <v>259</v>
      </c>
      <c r="U491">
        <f t="shared" si="61"/>
        <v>181</v>
      </c>
      <c r="V491">
        <v>102</v>
      </c>
      <c r="W491">
        <v>455</v>
      </c>
      <c r="X491">
        <v>415</v>
      </c>
      <c r="Y491">
        <v>350</v>
      </c>
      <c r="Z491">
        <f t="shared" si="62"/>
        <v>305</v>
      </c>
      <c r="AA491">
        <v>259</v>
      </c>
      <c r="AB491">
        <f t="shared" si="63"/>
        <v>181</v>
      </c>
      <c r="AC491">
        <v>102</v>
      </c>
    </row>
    <row r="492" spans="1:29" x14ac:dyDescent="0.25">
      <c r="A492" t="s">
        <v>500</v>
      </c>
      <c r="B492">
        <v>551</v>
      </c>
      <c r="C492">
        <v>495</v>
      </c>
      <c r="D492">
        <v>410</v>
      </c>
      <c r="E492">
        <f t="shared" si="56"/>
        <v>353</v>
      </c>
      <c r="F492">
        <v>295</v>
      </c>
      <c r="G492">
        <f t="shared" si="57"/>
        <v>202</v>
      </c>
      <c r="H492">
        <v>108</v>
      </c>
      <c r="I492">
        <v>551</v>
      </c>
      <c r="J492">
        <v>495</v>
      </c>
      <c r="K492">
        <v>410</v>
      </c>
      <c r="L492">
        <f t="shared" si="58"/>
        <v>353</v>
      </c>
      <c r="M492">
        <v>295</v>
      </c>
      <c r="N492">
        <f t="shared" si="59"/>
        <v>202</v>
      </c>
      <c r="O492">
        <v>108</v>
      </c>
      <c r="P492">
        <v>413</v>
      </c>
      <c r="Q492">
        <v>378</v>
      </c>
      <c r="R492">
        <v>321</v>
      </c>
      <c r="S492">
        <f t="shared" si="60"/>
        <v>280</v>
      </c>
      <c r="T492">
        <v>239</v>
      </c>
      <c r="U492">
        <f t="shared" si="61"/>
        <v>167</v>
      </c>
      <c r="V492">
        <v>94</v>
      </c>
      <c r="W492">
        <v>413</v>
      </c>
      <c r="X492">
        <v>378</v>
      </c>
      <c r="Y492">
        <v>321</v>
      </c>
      <c r="Z492">
        <f t="shared" si="62"/>
        <v>280</v>
      </c>
      <c r="AA492">
        <v>239</v>
      </c>
      <c r="AB492">
        <f t="shared" si="63"/>
        <v>167</v>
      </c>
      <c r="AC492">
        <v>94</v>
      </c>
    </row>
    <row r="493" spans="1:29" x14ac:dyDescent="0.25">
      <c r="A493" t="s">
        <v>501</v>
      </c>
      <c r="B493">
        <v>495</v>
      </c>
      <c r="C493">
        <v>447</v>
      </c>
      <c r="D493">
        <v>372</v>
      </c>
      <c r="E493">
        <f t="shared" si="56"/>
        <v>321</v>
      </c>
      <c r="F493">
        <v>269</v>
      </c>
      <c r="G493">
        <f t="shared" si="57"/>
        <v>185</v>
      </c>
      <c r="H493">
        <v>100</v>
      </c>
      <c r="I493">
        <v>495</v>
      </c>
      <c r="J493">
        <v>447</v>
      </c>
      <c r="K493">
        <v>372</v>
      </c>
      <c r="L493">
        <f t="shared" si="58"/>
        <v>321</v>
      </c>
      <c r="M493">
        <v>269</v>
      </c>
      <c r="N493">
        <f t="shared" si="59"/>
        <v>185</v>
      </c>
      <c r="O493">
        <v>100</v>
      </c>
      <c r="P493">
        <v>371</v>
      </c>
      <c r="Q493">
        <v>342</v>
      </c>
      <c r="R493">
        <v>291</v>
      </c>
      <c r="S493">
        <f t="shared" si="60"/>
        <v>255</v>
      </c>
      <c r="T493">
        <v>219</v>
      </c>
      <c r="U493">
        <f t="shared" si="61"/>
        <v>153</v>
      </c>
      <c r="V493">
        <v>87</v>
      </c>
      <c r="W493">
        <v>371</v>
      </c>
      <c r="X493">
        <v>342</v>
      </c>
      <c r="Y493">
        <v>291</v>
      </c>
      <c r="Z493">
        <f t="shared" si="62"/>
        <v>255</v>
      </c>
      <c r="AA493">
        <v>219</v>
      </c>
      <c r="AB493">
        <f t="shared" si="63"/>
        <v>153</v>
      </c>
      <c r="AC493">
        <v>87</v>
      </c>
    </row>
    <row r="494" spans="1:29" x14ac:dyDescent="0.25">
      <c r="A494" t="s">
        <v>502</v>
      </c>
      <c r="B494">
        <v>433</v>
      </c>
      <c r="C494">
        <v>395</v>
      </c>
      <c r="D494">
        <v>331</v>
      </c>
      <c r="E494">
        <f t="shared" si="56"/>
        <v>287</v>
      </c>
      <c r="F494">
        <v>242</v>
      </c>
      <c r="G494">
        <f t="shared" si="57"/>
        <v>166</v>
      </c>
      <c r="H494">
        <v>90</v>
      </c>
      <c r="I494">
        <v>433</v>
      </c>
      <c r="J494">
        <v>395</v>
      </c>
      <c r="K494">
        <v>331</v>
      </c>
      <c r="L494">
        <f t="shared" si="58"/>
        <v>287</v>
      </c>
      <c r="M494">
        <v>242</v>
      </c>
      <c r="N494">
        <f t="shared" si="59"/>
        <v>166</v>
      </c>
      <c r="O494">
        <v>90</v>
      </c>
      <c r="P494">
        <v>325</v>
      </c>
      <c r="Q494">
        <v>302</v>
      </c>
      <c r="R494">
        <v>259</v>
      </c>
      <c r="S494">
        <f t="shared" si="60"/>
        <v>228</v>
      </c>
      <c r="T494">
        <v>197</v>
      </c>
      <c r="U494">
        <f t="shared" si="61"/>
        <v>138</v>
      </c>
      <c r="V494">
        <v>78</v>
      </c>
      <c r="W494">
        <v>325</v>
      </c>
      <c r="X494">
        <v>302</v>
      </c>
      <c r="Y494">
        <v>259</v>
      </c>
      <c r="Z494">
        <f t="shared" si="62"/>
        <v>228</v>
      </c>
      <c r="AA494">
        <v>197</v>
      </c>
      <c r="AB494">
        <f t="shared" si="63"/>
        <v>138</v>
      </c>
      <c r="AC494">
        <v>78</v>
      </c>
    </row>
    <row r="495" spans="1:29" x14ac:dyDescent="0.25">
      <c r="A495" t="s">
        <v>503</v>
      </c>
      <c r="B495">
        <v>541</v>
      </c>
      <c r="C495">
        <v>486</v>
      </c>
      <c r="D495">
        <v>402</v>
      </c>
      <c r="E495">
        <f t="shared" si="56"/>
        <v>345</v>
      </c>
      <c r="F495">
        <v>288</v>
      </c>
      <c r="G495">
        <f t="shared" si="57"/>
        <v>198</v>
      </c>
      <c r="H495">
        <v>107</v>
      </c>
      <c r="I495">
        <v>541</v>
      </c>
      <c r="J495">
        <v>486</v>
      </c>
      <c r="K495">
        <v>402</v>
      </c>
      <c r="L495">
        <f t="shared" si="58"/>
        <v>345</v>
      </c>
      <c r="M495">
        <v>288</v>
      </c>
      <c r="N495">
        <f t="shared" si="59"/>
        <v>198</v>
      </c>
      <c r="O495">
        <v>107</v>
      </c>
      <c r="P495">
        <v>406</v>
      </c>
      <c r="Q495">
        <v>372</v>
      </c>
      <c r="R495">
        <v>314</v>
      </c>
      <c r="S495">
        <f t="shared" si="60"/>
        <v>274</v>
      </c>
      <c r="T495">
        <v>234</v>
      </c>
      <c r="U495">
        <f t="shared" si="61"/>
        <v>164</v>
      </c>
      <c r="V495">
        <v>93</v>
      </c>
      <c r="W495">
        <v>406</v>
      </c>
      <c r="X495">
        <v>372</v>
      </c>
      <c r="Y495">
        <v>314</v>
      </c>
      <c r="Z495">
        <f t="shared" si="62"/>
        <v>274</v>
      </c>
      <c r="AA495">
        <v>234</v>
      </c>
      <c r="AB495">
        <f t="shared" si="63"/>
        <v>164</v>
      </c>
      <c r="AC495">
        <v>93</v>
      </c>
    </row>
    <row r="496" spans="1:29" x14ac:dyDescent="0.25">
      <c r="A496" t="s">
        <v>504</v>
      </c>
      <c r="B496">
        <v>484</v>
      </c>
      <c r="C496">
        <v>436</v>
      </c>
      <c r="D496">
        <v>364</v>
      </c>
      <c r="E496">
        <f t="shared" si="56"/>
        <v>314</v>
      </c>
      <c r="F496">
        <v>263</v>
      </c>
      <c r="G496">
        <f t="shared" si="57"/>
        <v>181</v>
      </c>
      <c r="H496">
        <v>98</v>
      </c>
      <c r="I496">
        <v>484</v>
      </c>
      <c r="J496">
        <v>436</v>
      </c>
      <c r="K496">
        <v>364</v>
      </c>
      <c r="L496">
        <f t="shared" si="58"/>
        <v>314</v>
      </c>
      <c r="M496">
        <v>263</v>
      </c>
      <c r="N496">
        <f t="shared" si="59"/>
        <v>181</v>
      </c>
      <c r="O496">
        <v>98</v>
      </c>
      <c r="P496">
        <v>363</v>
      </c>
      <c r="Q496">
        <v>334</v>
      </c>
      <c r="R496">
        <v>285</v>
      </c>
      <c r="S496">
        <f t="shared" si="60"/>
        <v>250</v>
      </c>
      <c r="T496">
        <v>214</v>
      </c>
      <c r="U496">
        <f t="shared" si="61"/>
        <v>150</v>
      </c>
      <c r="V496">
        <v>86</v>
      </c>
      <c r="W496">
        <v>363</v>
      </c>
      <c r="X496">
        <v>334</v>
      </c>
      <c r="Y496">
        <v>285</v>
      </c>
      <c r="Z496">
        <f t="shared" si="62"/>
        <v>250</v>
      </c>
      <c r="AA496">
        <v>214</v>
      </c>
      <c r="AB496">
        <f t="shared" si="63"/>
        <v>150</v>
      </c>
      <c r="AC496">
        <v>86</v>
      </c>
    </row>
    <row r="497" spans="1:29" x14ac:dyDescent="0.25">
      <c r="A497" t="s">
        <v>505</v>
      </c>
      <c r="B497">
        <v>426</v>
      </c>
      <c r="C497">
        <v>386</v>
      </c>
      <c r="D497">
        <v>325</v>
      </c>
      <c r="E497">
        <f t="shared" si="56"/>
        <v>281</v>
      </c>
      <c r="F497">
        <v>237</v>
      </c>
      <c r="G497">
        <f t="shared" si="57"/>
        <v>163</v>
      </c>
      <c r="H497">
        <v>89</v>
      </c>
      <c r="I497">
        <v>426</v>
      </c>
      <c r="J497">
        <v>386</v>
      </c>
      <c r="K497">
        <v>325</v>
      </c>
      <c r="L497">
        <f t="shared" si="58"/>
        <v>281</v>
      </c>
      <c r="M497">
        <v>237</v>
      </c>
      <c r="N497">
        <f t="shared" si="59"/>
        <v>163</v>
      </c>
      <c r="O497">
        <v>89</v>
      </c>
      <c r="P497">
        <v>319</v>
      </c>
      <c r="Q497">
        <v>295</v>
      </c>
      <c r="R497">
        <v>254</v>
      </c>
      <c r="S497">
        <f t="shared" si="60"/>
        <v>224</v>
      </c>
      <c r="T497">
        <v>193</v>
      </c>
      <c r="U497">
        <f t="shared" si="61"/>
        <v>136</v>
      </c>
      <c r="V497">
        <v>78</v>
      </c>
      <c r="W497">
        <v>319</v>
      </c>
      <c r="X497">
        <v>295</v>
      </c>
      <c r="Y497">
        <v>254</v>
      </c>
      <c r="Z497">
        <f t="shared" si="62"/>
        <v>224</v>
      </c>
      <c r="AA497">
        <v>193</v>
      </c>
      <c r="AB497">
        <f t="shared" si="63"/>
        <v>136</v>
      </c>
      <c r="AC497">
        <v>78</v>
      </c>
    </row>
    <row r="498" spans="1:29" x14ac:dyDescent="0.25">
      <c r="A498" t="s">
        <v>506</v>
      </c>
      <c r="B498">
        <v>474</v>
      </c>
      <c r="C498">
        <v>426</v>
      </c>
      <c r="D498">
        <v>355</v>
      </c>
      <c r="E498">
        <f t="shared" si="56"/>
        <v>306</v>
      </c>
      <c r="F498">
        <v>257</v>
      </c>
      <c r="G498">
        <f t="shared" si="57"/>
        <v>177</v>
      </c>
      <c r="H498">
        <v>96</v>
      </c>
      <c r="I498">
        <v>474</v>
      </c>
      <c r="J498">
        <v>426</v>
      </c>
      <c r="K498">
        <v>355</v>
      </c>
      <c r="L498">
        <f t="shared" si="58"/>
        <v>306</v>
      </c>
      <c r="M498">
        <v>257</v>
      </c>
      <c r="N498">
        <f t="shared" si="59"/>
        <v>177</v>
      </c>
      <c r="O498">
        <v>96</v>
      </c>
      <c r="P498">
        <v>355</v>
      </c>
      <c r="Q498">
        <v>326</v>
      </c>
      <c r="R498">
        <v>278</v>
      </c>
      <c r="S498">
        <f t="shared" si="60"/>
        <v>244</v>
      </c>
      <c r="T498">
        <v>209</v>
      </c>
      <c r="U498">
        <f t="shared" si="61"/>
        <v>146</v>
      </c>
      <c r="V498">
        <v>83</v>
      </c>
      <c r="W498">
        <v>355</v>
      </c>
      <c r="X498">
        <v>326</v>
      </c>
      <c r="Y498">
        <v>278</v>
      </c>
      <c r="Z498">
        <f t="shared" si="62"/>
        <v>244</v>
      </c>
      <c r="AA498">
        <v>209</v>
      </c>
      <c r="AB498">
        <f t="shared" si="63"/>
        <v>146</v>
      </c>
      <c r="AC498">
        <v>83</v>
      </c>
    </row>
    <row r="499" spans="1:29" x14ac:dyDescent="0.25">
      <c r="A499" t="s">
        <v>507</v>
      </c>
      <c r="B499">
        <v>415</v>
      </c>
      <c r="C499">
        <v>376</v>
      </c>
      <c r="D499">
        <v>316</v>
      </c>
      <c r="E499">
        <f t="shared" si="56"/>
        <v>274</v>
      </c>
      <c r="F499">
        <v>231</v>
      </c>
      <c r="G499">
        <f t="shared" si="57"/>
        <v>159</v>
      </c>
      <c r="H499">
        <v>87</v>
      </c>
      <c r="I499">
        <v>415</v>
      </c>
      <c r="J499">
        <v>376</v>
      </c>
      <c r="K499">
        <v>316</v>
      </c>
      <c r="L499">
        <f t="shared" si="58"/>
        <v>274</v>
      </c>
      <c r="M499">
        <v>231</v>
      </c>
      <c r="N499">
        <f t="shared" si="59"/>
        <v>159</v>
      </c>
      <c r="O499">
        <v>87</v>
      </c>
      <c r="P499">
        <v>311</v>
      </c>
      <c r="Q499">
        <v>288</v>
      </c>
      <c r="R499">
        <v>248</v>
      </c>
      <c r="S499">
        <f t="shared" si="60"/>
        <v>218</v>
      </c>
      <c r="T499">
        <v>187</v>
      </c>
      <c r="U499">
        <f t="shared" si="61"/>
        <v>131</v>
      </c>
      <c r="V499">
        <v>75</v>
      </c>
      <c r="W499">
        <v>311</v>
      </c>
      <c r="X499">
        <v>288</v>
      </c>
      <c r="Y499">
        <v>248</v>
      </c>
      <c r="Z499">
        <f t="shared" si="62"/>
        <v>218</v>
      </c>
      <c r="AA499">
        <v>187</v>
      </c>
      <c r="AB499">
        <f t="shared" si="63"/>
        <v>131</v>
      </c>
      <c r="AC499">
        <v>75</v>
      </c>
    </row>
    <row r="500" spans="1:29" x14ac:dyDescent="0.25">
      <c r="A500" t="s">
        <v>967</v>
      </c>
      <c r="B500">
        <v>353</v>
      </c>
      <c r="C500">
        <v>323</v>
      </c>
      <c r="D500">
        <v>275</v>
      </c>
      <c r="E500">
        <f t="shared" ref="E500" si="64">ROUND((D500+F500)/2,0)</f>
        <v>239</v>
      </c>
      <c r="F500">
        <v>203</v>
      </c>
      <c r="G500">
        <f t="shared" ref="G500" si="65">ROUND((F500+H500)/2,0)</f>
        <v>140</v>
      </c>
      <c r="H500">
        <v>77</v>
      </c>
      <c r="I500">
        <v>353</v>
      </c>
      <c r="J500">
        <v>323</v>
      </c>
      <c r="K500">
        <v>275</v>
      </c>
      <c r="L500">
        <f t="shared" ref="L500" si="66">ROUND((K500+M500)/2,0)</f>
        <v>239</v>
      </c>
      <c r="M500">
        <v>203</v>
      </c>
      <c r="N500">
        <f t="shared" ref="N500" si="67">ROUND((M500+O500)/2,0)</f>
        <v>140</v>
      </c>
      <c r="O500">
        <v>77</v>
      </c>
      <c r="P500">
        <v>264</v>
      </c>
      <c r="Q500">
        <v>247</v>
      </c>
      <c r="R500">
        <v>216</v>
      </c>
      <c r="S500">
        <f t="shared" ref="S500" si="68">ROUND((R500+T500)/2,0)</f>
        <v>190</v>
      </c>
      <c r="T500">
        <v>164</v>
      </c>
      <c r="U500">
        <f t="shared" ref="U500" si="69">ROUND((T500+V500)/2,0)</f>
        <v>115</v>
      </c>
      <c r="V500">
        <v>66</v>
      </c>
      <c r="W500">
        <v>264</v>
      </c>
      <c r="X500">
        <v>247</v>
      </c>
      <c r="Y500">
        <v>216</v>
      </c>
      <c r="Z500">
        <f t="shared" ref="Z500" si="70">ROUND((Y500+AA500)/2,0)</f>
        <v>190</v>
      </c>
      <c r="AA500">
        <v>164</v>
      </c>
      <c r="AB500">
        <f t="shared" ref="AB500" si="71">ROUND((AA500+AC500)/2,0)</f>
        <v>115</v>
      </c>
      <c r="AC500">
        <v>66</v>
      </c>
    </row>
    <row r="501" spans="1:29" x14ac:dyDescent="0.25">
      <c r="A501" t="s">
        <v>508</v>
      </c>
      <c r="B501">
        <v>404</v>
      </c>
      <c r="C501">
        <v>366</v>
      </c>
      <c r="D501">
        <v>306</v>
      </c>
      <c r="E501">
        <f t="shared" si="56"/>
        <v>265</v>
      </c>
      <c r="F501">
        <v>223</v>
      </c>
      <c r="G501">
        <f t="shared" si="57"/>
        <v>154</v>
      </c>
      <c r="H501">
        <v>84</v>
      </c>
      <c r="I501">
        <v>404</v>
      </c>
      <c r="J501">
        <v>366</v>
      </c>
      <c r="K501">
        <v>306</v>
      </c>
      <c r="L501">
        <f t="shared" si="58"/>
        <v>265</v>
      </c>
      <c r="M501">
        <v>223</v>
      </c>
      <c r="N501">
        <f t="shared" si="59"/>
        <v>154</v>
      </c>
      <c r="O501">
        <v>84</v>
      </c>
      <c r="P501">
        <v>303</v>
      </c>
      <c r="Q501">
        <v>280</v>
      </c>
      <c r="R501">
        <v>240</v>
      </c>
      <c r="S501">
        <f t="shared" si="60"/>
        <v>211</v>
      </c>
      <c r="T501">
        <v>181</v>
      </c>
      <c r="U501">
        <f t="shared" si="61"/>
        <v>127</v>
      </c>
      <c r="V501">
        <v>73</v>
      </c>
      <c r="W501">
        <v>303</v>
      </c>
      <c r="X501">
        <v>280</v>
      </c>
      <c r="Y501">
        <v>240</v>
      </c>
      <c r="Z501">
        <f t="shared" si="62"/>
        <v>211</v>
      </c>
      <c r="AA501">
        <v>181</v>
      </c>
      <c r="AB501">
        <f t="shared" si="63"/>
        <v>127</v>
      </c>
      <c r="AC501">
        <v>73</v>
      </c>
    </row>
    <row r="502" spans="1:29" x14ac:dyDescent="0.25">
      <c r="A502" t="s">
        <v>509</v>
      </c>
      <c r="B502">
        <v>2073</v>
      </c>
      <c r="C502">
        <v>1795</v>
      </c>
      <c r="D502">
        <v>1446</v>
      </c>
      <c r="E502">
        <f t="shared" si="56"/>
        <v>1234</v>
      </c>
      <c r="F502">
        <v>1022</v>
      </c>
      <c r="G502">
        <f t="shared" si="57"/>
        <v>712</v>
      </c>
      <c r="H502">
        <v>402</v>
      </c>
      <c r="I502">
        <v>1304</v>
      </c>
      <c r="J502">
        <v>1123</v>
      </c>
      <c r="K502">
        <v>899</v>
      </c>
      <c r="L502">
        <f t="shared" si="58"/>
        <v>766</v>
      </c>
      <c r="M502">
        <v>633</v>
      </c>
      <c r="N502">
        <f t="shared" si="59"/>
        <v>441</v>
      </c>
      <c r="O502">
        <v>248</v>
      </c>
      <c r="P502">
        <v>1554</v>
      </c>
      <c r="Q502">
        <v>1373</v>
      </c>
      <c r="R502">
        <v>1132</v>
      </c>
      <c r="S502">
        <f t="shared" si="60"/>
        <v>981</v>
      </c>
      <c r="T502">
        <v>830</v>
      </c>
      <c r="U502">
        <f t="shared" si="61"/>
        <v>590</v>
      </c>
      <c r="V502">
        <v>350</v>
      </c>
      <c r="W502">
        <v>977</v>
      </c>
      <c r="X502">
        <v>859</v>
      </c>
      <c r="Y502">
        <v>704</v>
      </c>
      <c r="Z502">
        <f t="shared" si="62"/>
        <v>609</v>
      </c>
      <c r="AA502">
        <v>514</v>
      </c>
      <c r="AB502">
        <f t="shared" si="63"/>
        <v>365</v>
      </c>
      <c r="AC502">
        <v>216</v>
      </c>
    </row>
    <row r="503" spans="1:29" x14ac:dyDescent="0.25">
      <c r="A503" t="s">
        <v>510</v>
      </c>
      <c r="B503">
        <v>1965</v>
      </c>
      <c r="C503">
        <v>1707</v>
      </c>
      <c r="D503">
        <v>1379</v>
      </c>
      <c r="E503">
        <f t="shared" si="56"/>
        <v>1177</v>
      </c>
      <c r="F503">
        <v>975</v>
      </c>
      <c r="G503">
        <f t="shared" si="57"/>
        <v>680</v>
      </c>
      <c r="H503">
        <v>384</v>
      </c>
      <c r="I503">
        <v>1255</v>
      </c>
      <c r="J503">
        <v>1083</v>
      </c>
      <c r="K503">
        <v>869</v>
      </c>
      <c r="L503">
        <f t="shared" si="58"/>
        <v>741</v>
      </c>
      <c r="M503">
        <v>612</v>
      </c>
      <c r="N503">
        <f t="shared" si="59"/>
        <v>426</v>
      </c>
      <c r="O503">
        <v>239</v>
      </c>
      <c r="P503">
        <v>1473</v>
      </c>
      <c r="Q503">
        <v>1306</v>
      </c>
      <c r="R503">
        <v>1079</v>
      </c>
      <c r="S503">
        <f t="shared" si="60"/>
        <v>936</v>
      </c>
      <c r="T503">
        <v>792</v>
      </c>
      <c r="U503">
        <f t="shared" si="61"/>
        <v>563</v>
      </c>
      <c r="V503">
        <v>334</v>
      </c>
      <c r="W503">
        <v>941</v>
      </c>
      <c r="X503">
        <v>828</v>
      </c>
      <c r="Y503">
        <v>680</v>
      </c>
      <c r="Z503">
        <f t="shared" si="62"/>
        <v>589</v>
      </c>
      <c r="AA503">
        <v>497</v>
      </c>
      <c r="AB503">
        <f t="shared" si="63"/>
        <v>353</v>
      </c>
      <c r="AC503">
        <v>208</v>
      </c>
    </row>
    <row r="504" spans="1:29" x14ac:dyDescent="0.25">
      <c r="A504" t="s">
        <v>511</v>
      </c>
      <c r="B504">
        <v>1855</v>
      </c>
      <c r="C504">
        <v>1617</v>
      </c>
      <c r="D504">
        <v>1309</v>
      </c>
      <c r="E504">
        <f t="shared" si="56"/>
        <v>1119</v>
      </c>
      <c r="F504">
        <v>928</v>
      </c>
      <c r="G504">
        <f t="shared" si="57"/>
        <v>646</v>
      </c>
      <c r="H504">
        <v>364</v>
      </c>
      <c r="I504">
        <v>1207</v>
      </c>
      <c r="J504">
        <v>1044</v>
      </c>
      <c r="K504">
        <v>839</v>
      </c>
      <c r="L504">
        <f t="shared" si="58"/>
        <v>714</v>
      </c>
      <c r="M504">
        <v>589</v>
      </c>
      <c r="N504">
        <f t="shared" si="59"/>
        <v>409</v>
      </c>
      <c r="O504">
        <v>229</v>
      </c>
      <c r="P504">
        <v>1391</v>
      </c>
      <c r="Q504">
        <v>1237</v>
      </c>
      <c r="R504">
        <v>1025</v>
      </c>
      <c r="S504">
        <f t="shared" si="60"/>
        <v>890</v>
      </c>
      <c r="T504">
        <v>754</v>
      </c>
      <c r="U504">
        <f t="shared" si="61"/>
        <v>536</v>
      </c>
      <c r="V504">
        <v>317</v>
      </c>
      <c r="W504">
        <v>905</v>
      </c>
      <c r="X504">
        <v>799</v>
      </c>
      <c r="Y504">
        <v>657</v>
      </c>
      <c r="Z504">
        <f t="shared" si="62"/>
        <v>568</v>
      </c>
      <c r="AA504">
        <v>479</v>
      </c>
      <c r="AB504">
        <f t="shared" si="63"/>
        <v>339</v>
      </c>
      <c r="AC504">
        <v>199</v>
      </c>
    </row>
    <row r="505" spans="1:29" x14ac:dyDescent="0.25">
      <c r="A505" t="s">
        <v>512</v>
      </c>
      <c r="B505">
        <v>1742</v>
      </c>
      <c r="C505">
        <v>1523</v>
      </c>
      <c r="D505">
        <v>1238</v>
      </c>
      <c r="E505">
        <f t="shared" si="56"/>
        <v>1058</v>
      </c>
      <c r="F505">
        <v>878</v>
      </c>
      <c r="G505">
        <f t="shared" si="57"/>
        <v>611</v>
      </c>
      <c r="H505">
        <v>343</v>
      </c>
      <c r="I505">
        <v>1161</v>
      </c>
      <c r="J505">
        <v>1005</v>
      </c>
      <c r="K505">
        <v>810</v>
      </c>
      <c r="L505">
        <f t="shared" si="58"/>
        <v>689</v>
      </c>
      <c r="M505">
        <v>568</v>
      </c>
      <c r="N505">
        <f t="shared" si="59"/>
        <v>394</v>
      </c>
      <c r="O505">
        <v>219</v>
      </c>
      <c r="P505">
        <v>1306</v>
      </c>
      <c r="Q505">
        <v>1166</v>
      </c>
      <c r="R505">
        <v>969</v>
      </c>
      <c r="S505">
        <f t="shared" si="60"/>
        <v>841</v>
      </c>
      <c r="T505">
        <v>713</v>
      </c>
      <c r="U505">
        <f t="shared" si="61"/>
        <v>506</v>
      </c>
      <c r="V505">
        <v>299</v>
      </c>
      <c r="W505">
        <v>870</v>
      </c>
      <c r="X505">
        <v>769</v>
      </c>
      <c r="Y505">
        <v>634</v>
      </c>
      <c r="Z505">
        <f t="shared" si="62"/>
        <v>548</v>
      </c>
      <c r="AA505">
        <v>461</v>
      </c>
      <c r="AB505">
        <f t="shared" si="63"/>
        <v>326</v>
      </c>
      <c r="AC505">
        <v>191</v>
      </c>
    </row>
    <row r="506" spans="1:29" x14ac:dyDescent="0.25">
      <c r="A506" t="s">
        <v>513</v>
      </c>
      <c r="B506">
        <v>1624</v>
      </c>
      <c r="C506">
        <v>1426</v>
      </c>
      <c r="D506">
        <v>1163</v>
      </c>
      <c r="E506">
        <f t="shared" si="56"/>
        <v>995</v>
      </c>
      <c r="F506">
        <v>826</v>
      </c>
      <c r="G506">
        <f t="shared" si="57"/>
        <v>574</v>
      </c>
      <c r="H506">
        <v>321</v>
      </c>
      <c r="I506">
        <v>1114</v>
      </c>
      <c r="J506">
        <v>967</v>
      </c>
      <c r="K506">
        <v>779</v>
      </c>
      <c r="L506">
        <f t="shared" si="58"/>
        <v>662</v>
      </c>
      <c r="M506">
        <v>545</v>
      </c>
      <c r="N506">
        <f t="shared" si="59"/>
        <v>378</v>
      </c>
      <c r="O506">
        <v>210</v>
      </c>
      <c r="P506">
        <v>1217</v>
      </c>
      <c r="Q506">
        <v>1091</v>
      </c>
      <c r="R506">
        <v>911</v>
      </c>
      <c r="S506">
        <f t="shared" si="60"/>
        <v>791</v>
      </c>
      <c r="T506">
        <v>671</v>
      </c>
      <c r="U506">
        <f t="shared" si="61"/>
        <v>476</v>
      </c>
      <c r="V506">
        <v>280</v>
      </c>
      <c r="W506">
        <v>835</v>
      </c>
      <c r="X506">
        <v>740</v>
      </c>
      <c r="Y506">
        <v>610</v>
      </c>
      <c r="Z506">
        <f t="shared" si="62"/>
        <v>527</v>
      </c>
      <c r="AA506">
        <v>443</v>
      </c>
      <c r="AB506">
        <f t="shared" si="63"/>
        <v>313</v>
      </c>
      <c r="AC506">
        <v>183</v>
      </c>
    </row>
    <row r="507" spans="1:29" x14ac:dyDescent="0.25">
      <c r="A507" t="s">
        <v>514</v>
      </c>
      <c r="B507">
        <v>1500</v>
      </c>
      <c r="C507">
        <v>1323</v>
      </c>
      <c r="D507">
        <v>1083</v>
      </c>
      <c r="E507">
        <f t="shared" si="56"/>
        <v>927</v>
      </c>
      <c r="F507">
        <v>771</v>
      </c>
      <c r="G507">
        <f t="shared" si="57"/>
        <v>535</v>
      </c>
      <c r="H507">
        <v>299</v>
      </c>
      <c r="I507">
        <v>1065</v>
      </c>
      <c r="J507">
        <v>926</v>
      </c>
      <c r="K507">
        <v>748</v>
      </c>
      <c r="L507">
        <f t="shared" si="58"/>
        <v>636</v>
      </c>
      <c r="M507">
        <v>524</v>
      </c>
      <c r="N507">
        <f t="shared" si="59"/>
        <v>362</v>
      </c>
      <c r="O507">
        <v>200</v>
      </c>
      <c r="P507">
        <v>1124</v>
      </c>
      <c r="Q507">
        <v>1012</v>
      </c>
      <c r="R507">
        <v>848</v>
      </c>
      <c r="S507">
        <f t="shared" si="60"/>
        <v>737</v>
      </c>
      <c r="T507">
        <v>626</v>
      </c>
      <c r="U507">
        <f t="shared" si="61"/>
        <v>443</v>
      </c>
      <c r="V507">
        <v>260</v>
      </c>
      <c r="W507">
        <v>798</v>
      </c>
      <c r="X507">
        <v>709</v>
      </c>
      <c r="Y507">
        <v>586</v>
      </c>
      <c r="Z507">
        <f t="shared" si="62"/>
        <v>506</v>
      </c>
      <c r="AA507">
        <v>425</v>
      </c>
      <c r="AB507">
        <f t="shared" si="63"/>
        <v>300</v>
      </c>
      <c r="AC507">
        <v>174</v>
      </c>
    </row>
    <row r="508" spans="1:29" x14ac:dyDescent="0.25">
      <c r="A508" t="s">
        <v>515</v>
      </c>
      <c r="B508">
        <v>1367</v>
      </c>
      <c r="C508">
        <v>1210</v>
      </c>
      <c r="D508">
        <v>996</v>
      </c>
      <c r="E508">
        <f t="shared" si="56"/>
        <v>853</v>
      </c>
      <c r="F508">
        <v>710</v>
      </c>
      <c r="G508">
        <f t="shared" si="57"/>
        <v>492</v>
      </c>
      <c r="H508">
        <v>274</v>
      </c>
      <c r="I508">
        <v>1015</v>
      </c>
      <c r="J508">
        <v>884</v>
      </c>
      <c r="K508">
        <v>715</v>
      </c>
      <c r="L508">
        <f t="shared" si="58"/>
        <v>608</v>
      </c>
      <c r="M508">
        <v>501</v>
      </c>
      <c r="N508">
        <f t="shared" si="59"/>
        <v>346</v>
      </c>
      <c r="O508">
        <v>190</v>
      </c>
      <c r="P508">
        <v>1025</v>
      </c>
      <c r="Q508">
        <v>926</v>
      </c>
      <c r="R508">
        <v>779</v>
      </c>
      <c r="S508">
        <f t="shared" si="60"/>
        <v>678</v>
      </c>
      <c r="T508">
        <v>576</v>
      </c>
      <c r="U508">
        <f t="shared" si="61"/>
        <v>407</v>
      </c>
      <c r="V508">
        <v>238</v>
      </c>
      <c r="W508">
        <v>761</v>
      </c>
      <c r="X508">
        <v>677</v>
      </c>
      <c r="Y508">
        <v>559</v>
      </c>
      <c r="Z508">
        <f t="shared" si="62"/>
        <v>483</v>
      </c>
      <c r="AA508">
        <v>406</v>
      </c>
      <c r="AB508">
        <f t="shared" si="63"/>
        <v>286</v>
      </c>
      <c r="AC508">
        <v>165</v>
      </c>
    </row>
    <row r="509" spans="1:29" x14ac:dyDescent="0.25">
      <c r="A509" t="s">
        <v>516</v>
      </c>
      <c r="B509">
        <v>1965</v>
      </c>
      <c r="C509">
        <v>1705</v>
      </c>
      <c r="D509">
        <v>1375</v>
      </c>
      <c r="E509">
        <f t="shared" si="56"/>
        <v>1173</v>
      </c>
      <c r="F509">
        <v>970</v>
      </c>
      <c r="G509">
        <f t="shared" si="57"/>
        <v>675</v>
      </c>
      <c r="H509">
        <v>379</v>
      </c>
      <c r="I509">
        <v>1255</v>
      </c>
      <c r="J509">
        <v>1083</v>
      </c>
      <c r="K509">
        <v>868</v>
      </c>
      <c r="L509">
        <f t="shared" si="58"/>
        <v>738</v>
      </c>
      <c r="M509">
        <v>608</v>
      </c>
      <c r="N509">
        <f t="shared" si="59"/>
        <v>423</v>
      </c>
      <c r="O509">
        <v>237</v>
      </c>
      <c r="P509">
        <v>1473</v>
      </c>
      <c r="Q509">
        <v>1304</v>
      </c>
      <c r="R509">
        <v>1076</v>
      </c>
      <c r="S509">
        <f t="shared" si="60"/>
        <v>932</v>
      </c>
      <c r="T509">
        <v>788</v>
      </c>
      <c r="U509">
        <f t="shared" si="61"/>
        <v>559</v>
      </c>
      <c r="V509">
        <v>330</v>
      </c>
      <c r="W509">
        <v>941</v>
      </c>
      <c r="X509">
        <v>828</v>
      </c>
      <c r="Y509">
        <v>679</v>
      </c>
      <c r="Z509">
        <f t="shared" si="62"/>
        <v>587</v>
      </c>
      <c r="AA509">
        <v>494</v>
      </c>
      <c r="AB509">
        <f t="shared" si="63"/>
        <v>350</v>
      </c>
      <c r="AC509">
        <v>206</v>
      </c>
    </row>
    <row r="510" spans="1:29" x14ac:dyDescent="0.25">
      <c r="A510" t="s">
        <v>517</v>
      </c>
      <c r="B510">
        <v>1853</v>
      </c>
      <c r="C510">
        <v>1613</v>
      </c>
      <c r="D510">
        <v>1304</v>
      </c>
      <c r="E510">
        <f t="shared" si="56"/>
        <v>1113</v>
      </c>
      <c r="F510">
        <v>921</v>
      </c>
      <c r="G510">
        <f t="shared" si="57"/>
        <v>641</v>
      </c>
      <c r="H510">
        <v>360</v>
      </c>
      <c r="I510">
        <v>1207</v>
      </c>
      <c r="J510">
        <v>1043</v>
      </c>
      <c r="K510">
        <v>837</v>
      </c>
      <c r="L510">
        <f t="shared" si="58"/>
        <v>712</v>
      </c>
      <c r="M510">
        <v>586</v>
      </c>
      <c r="N510">
        <f t="shared" si="59"/>
        <v>407</v>
      </c>
      <c r="O510">
        <v>228</v>
      </c>
      <c r="P510">
        <v>1389</v>
      </c>
      <c r="Q510">
        <v>1234</v>
      </c>
      <c r="R510">
        <v>1021</v>
      </c>
      <c r="S510">
        <f t="shared" si="60"/>
        <v>885</v>
      </c>
      <c r="T510">
        <v>748</v>
      </c>
      <c r="U510">
        <f t="shared" si="61"/>
        <v>531</v>
      </c>
      <c r="V510">
        <v>314</v>
      </c>
      <c r="W510">
        <v>905</v>
      </c>
      <c r="X510">
        <v>798</v>
      </c>
      <c r="Y510">
        <v>655</v>
      </c>
      <c r="Z510">
        <f t="shared" si="62"/>
        <v>566</v>
      </c>
      <c r="AA510">
        <v>476</v>
      </c>
      <c r="AB510">
        <f t="shared" si="63"/>
        <v>338</v>
      </c>
      <c r="AC510">
        <v>199</v>
      </c>
    </row>
    <row r="511" spans="1:29" x14ac:dyDescent="0.25">
      <c r="A511" t="s">
        <v>518</v>
      </c>
      <c r="B511">
        <v>1737</v>
      </c>
      <c r="C511">
        <v>1518</v>
      </c>
      <c r="D511">
        <v>1233</v>
      </c>
      <c r="E511">
        <f t="shared" si="56"/>
        <v>1053</v>
      </c>
      <c r="F511">
        <v>873</v>
      </c>
      <c r="G511">
        <f t="shared" si="57"/>
        <v>607</v>
      </c>
      <c r="H511">
        <v>340</v>
      </c>
      <c r="I511">
        <v>1159</v>
      </c>
      <c r="J511">
        <v>1003</v>
      </c>
      <c r="K511">
        <v>807</v>
      </c>
      <c r="L511">
        <f t="shared" si="58"/>
        <v>687</v>
      </c>
      <c r="M511">
        <v>566</v>
      </c>
      <c r="N511">
        <f t="shared" si="59"/>
        <v>392</v>
      </c>
      <c r="O511">
        <v>218</v>
      </c>
      <c r="P511">
        <v>1302</v>
      </c>
      <c r="Q511">
        <v>1161</v>
      </c>
      <c r="R511">
        <v>965</v>
      </c>
      <c r="S511">
        <f t="shared" si="60"/>
        <v>837</v>
      </c>
      <c r="T511">
        <v>709</v>
      </c>
      <c r="U511">
        <f t="shared" si="61"/>
        <v>503</v>
      </c>
      <c r="V511">
        <v>296</v>
      </c>
      <c r="W511">
        <v>869</v>
      </c>
      <c r="X511">
        <v>767</v>
      </c>
      <c r="Y511">
        <v>632</v>
      </c>
      <c r="Z511">
        <f t="shared" si="62"/>
        <v>546</v>
      </c>
      <c r="AA511">
        <v>459</v>
      </c>
      <c r="AB511">
        <f t="shared" si="63"/>
        <v>325</v>
      </c>
      <c r="AC511">
        <v>190</v>
      </c>
    </row>
    <row r="512" spans="1:29" x14ac:dyDescent="0.25">
      <c r="A512" t="s">
        <v>519</v>
      </c>
      <c r="B512">
        <v>1618</v>
      </c>
      <c r="C512">
        <v>1420</v>
      </c>
      <c r="D512">
        <v>1158</v>
      </c>
      <c r="E512">
        <f t="shared" si="56"/>
        <v>990</v>
      </c>
      <c r="F512">
        <v>821</v>
      </c>
      <c r="G512">
        <f t="shared" si="57"/>
        <v>570</v>
      </c>
      <c r="H512">
        <v>319</v>
      </c>
      <c r="I512">
        <v>1112</v>
      </c>
      <c r="J512">
        <v>964</v>
      </c>
      <c r="K512">
        <v>777</v>
      </c>
      <c r="L512">
        <f t="shared" si="58"/>
        <v>661</v>
      </c>
      <c r="M512">
        <v>544</v>
      </c>
      <c r="N512">
        <f t="shared" si="59"/>
        <v>377</v>
      </c>
      <c r="O512">
        <v>209</v>
      </c>
      <c r="P512">
        <v>1213</v>
      </c>
      <c r="Q512">
        <v>1086</v>
      </c>
      <c r="R512">
        <v>906</v>
      </c>
      <c r="S512">
        <f t="shared" si="60"/>
        <v>787</v>
      </c>
      <c r="T512">
        <v>667</v>
      </c>
      <c r="U512">
        <f t="shared" si="61"/>
        <v>473</v>
      </c>
      <c r="V512">
        <v>278</v>
      </c>
      <c r="W512">
        <v>833</v>
      </c>
      <c r="X512">
        <v>737</v>
      </c>
      <c r="Y512">
        <v>608</v>
      </c>
      <c r="Z512">
        <f t="shared" si="62"/>
        <v>525</v>
      </c>
      <c r="AA512">
        <v>442</v>
      </c>
      <c r="AB512">
        <f t="shared" si="63"/>
        <v>312</v>
      </c>
      <c r="AC512">
        <v>182</v>
      </c>
    </row>
    <row r="513" spans="1:29" x14ac:dyDescent="0.25">
      <c r="A513" t="s">
        <v>520</v>
      </c>
      <c r="B513">
        <v>1496</v>
      </c>
      <c r="C513">
        <v>1317</v>
      </c>
      <c r="D513">
        <v>1077</v>
      </c>
      <c r="E513">
        <f t="shared" si="56"/>
        <v>922</v>
      </c>
      <c r="F513">
        <v>766</v>
      </c>
      <c r="G513">
        <f t="shared" si="57"/>
        <v>532</v>
      </c>
      <c r="H513">
        <v>297</v>
      </c>
      <c r="I513">
        <v>1064</v>
      </c>
      <c r="J513">
        <v>925</v>
      </c>
      <c r="K513">
        <v>746</v>
      </c>
      <c r="L513">
        <f t="shared" si="58"/>
        <v>634</v>
      </c>
      <c r="M513">
        <v>522</v>
      </c>
      <c r="N513">
        <f t="shared" si="59"/>
        <v>361</v>
      </c>
      <c r="O513">
        <v>199</v>
      </c>
      <c r="P513">
        <v>1121</v>
      </c>
      <c r="Q513">
        <v>1008</v>
      </c>
      <c r="R513">
        <v>843</v>
      </c>
      <c r="S513">
        <f t="shared" si="60"/>
        <v>733</v>
      </c>
      <c r="T513">
        <v>622</v>
      </c>
      <c r="U513">
        <f t="shared" si="61"/>
        <v>441</v>
      </c>
      <c r="V513">
        <v>259</v>
      </c>
      <c r="W513">
        <v>798</v>
      </c>
      <c r="X513">
        <v>708</v>
      </c>
      <c r="Y513">
        <v>584</v>
      </c>
      <c r="Z513">
        <f t="shared" si="62"/>
        <v>504</v>
      </c>
      <c r="AA513">
        <v>423</v>
      </c>
      <c r="AB513">
        <f t="shared" si="63"/>
        <v>298</v>
      </c>
      <c r="AC513">
        <v>173</v>
      </c>
    </row>
    <row r="514" spans="1:29" x14ac:dyDescent="0.25">
      <c r="A514" t="s">
        <v>521</v>
      </c>
      <c r="B514">
        <v>1364</v>
      </c>
      <c r="C514">
        <v>1207</v>
      </c>
      <c r="D514">
        <v>992</v>
      </c>
      <c r="E514">
        <f t="shared" si="56"/>
        <v>849</v>
      </c>
      <c r="F514">
        <v>706</v>
      </c>
      <c r="G514">
        <f t="shared" si="57"/>
        <v>489</v>
      </c>
      <c r="H514">
        <v>272</v>
      </c>
      <c r="I514">
        <v>1015</v>
      </c>
      <c r="J514">
        <v>884</v>
      </c>
      <c r="K514">
        <v>713</v>
      </c>
      <c r="L514">
        <f t="shared" si="58"/>
        <v>606</v>
      </c>
      <c r="M514">
        <v>499</v>
      </c>
      <c r="N514">
        <f t="shared" si="59"/>
        <v>344</v>
      </c>
      <c r="O514">
        <v>189</v>
      </c>
      <c r="P514">
        <v>1023</v>
      </c>
      <c r="Q514">
        <v>923</v>
      </c>
      <c r="R514">
        <v>776</v>
      </c>
      <c r="S514">
        <f t="shared" si="60"/>
        <v>675</v>
      </c>
      <c r="T514">
        <v>573</v>
      </c>
      <c r="U514">
        <f t="shared" si="61"/>
        <v>405</v>
      </c>
      <c r="V514">
        <v>237</v>
      </c>
      <c r="W514">
        <v>761</v>
      </c>
      <c r="X514">
        <v>676</v>
      </c>
      <c r="Y514">
        <v>558</v>
      </c>
      <c r="Z514">
        <f t="shared" si="62"/>
        <v>482</v>
      </c>
      <c r="AA514">
        <v>405</v>
      </c>
      <c r="AB514">
        <f t="shared" si="63"/>
        <v>285</v>
      </c>
      <c r="AC514">
        <v>165</v>
      </c>
    </row>
    <row r="515" spans="1:29" x14ac:dyDescent="0.25">
      <c r="A515" t="s">
        <v>522</v>
      </c>
      <c r="B515">
        <v>1223</v>
      </c>
      <c r="C515">
        <v>1087</v>
      </c>
      <c r="D515">
        <v>897</v>
      </c>
      <c r="E515">
        <f t="shared" si="56"/>
        <v>769</v>
      </c>
      <c r="F515">
        <v>641</v>
      </c>
      <c r="G515">
        <f t="shared" si="57"/>
        <v>444</v>
      </c>
      <c r="H515">
        <v>246</v>
      </c>
      <c r="I515">
        <v>964</v>
      </c>
      <c r="J515">
        <v>841</v>
      </c>
      <c r="K515">
        <v>680</v>
      </c>
      <c r="L515">
        <f t="shared" si="58"/>
        <v>578</v>
      </c>
      <c r="M515">
        <v>475</v>
      </c>
      <c r="N515">
        <f t="shared" si="59"/>
        <v>328</v>
      </c>
      <c r="O515">
        <v>180</v>
      </c>
      <c r="P515">
        <v>917</v>
      </c>
      <c r="Q515">
        <v>832</v>
      </c>
      <c r="R515">
        <v>702</v>
      </c>
      <c r="S515">
        <f t="shared" si="60"/>
        <v>611</v>
      </c>
      <c r="T515">
        <v>520</v>
      </c>
      <c r="U515">
        <f t="shared" si="61"/>
        <v>368</v>
      </c>
      <c r="V515">
        <v>215</v>
      </c>
      <c r="W515">
        <v>723</v>
      </c>
      <c r="X515">
        <v>644</v>
      </c>
      <c r="Y515">
        <v>532</v>
      </c>
      <c r="Z515">
        <f t="shared" si="62"/>
        <v>459</v>
      </c>
      <c r="AA515">
        <v>386</v>
      </c>
      <c r="AB515">
        <f t="shared" si="63"/>
        <v>272</v>
      </c>
      <c r="AC515">
        <v>158</v>
      </c>
    </row>
    <row r="516" spans="1:29" x14ac:dyDescent="0.25">
      <c r="A516" t="s">
        <v>523</v>
      </c>
      <c r="B516">
        <v>1851</v>
      </c>
      <c r="C516">
        <v>1609</v>
      </c>
      <c r="D516">
        <v>1300</v>
      </c>
      <c r="E516">
        <f t="shared" si="56"/>
        <v>1109</v>
      </c>
      <c r="F516">
        <v>917</v>
      </c>
      <c r="G516">
        <f t="shared" si="57"/>
        <v>637</v>
      </c>
      <c r="H516">
        <v>357</v>
      </c>
      <c r="I516">
        <v>1206</v>
      </c>
      <c r="J516">
        <v>1042</v>
      </c>
      <c r="K516">
        <v>835</v>
      </c>
      <c r="L516">
        <f t="shared" si="58"/>
        <v>710</v>
      </c>
      <c r="M516">
        <v>585</v>
      </c>
      <c r="N516">
        <f t="shared" si="59"/>
        <v>406</v>
      </c>
      <c r="O516">
        <v>226</v>
      </c>
      <c r="P516">
        <v>1387</v>
      </c>
      <c r="Q516">
        <v>1231</v>
      </c>
      <c r="R516">
        <v>1017</v>
      </c>
      <c r="S516">
        <f t="shared" si="60"/>
        <v>881</v>
      </c>
      <c r="T516">
        <v>745</v>
      </c>
      <c r="U516">
        <f t="shared" si="61"/>
        <v>528</v>
      </c>
      <c r="V516">
        <v>311</v>
      </c>
      <c r="W516">
        <v>904</v>
      </c>
      <c r="X516">
        <v>797</v>
      </c>
      <c r="Y516">
        <v>653</v>
      </c>
      <c r="Z516">
        <f t="shared" si="62"/>
        <v>564</v>
      </c>
      <c r="AA516">
        <v>475</v>
      </c>
      <c r="AB516">
        <f t="shared" si="63"/>
        <v>336</v>
      </c>
      <c r="AC516">
        <v>196</v>
      </c>
    </row>
    <row r="517" spans="1:29" x14ac:dyDescent="0.25">
      <c r="A517" t="s">
        <v>524</v>
      </c>
      <c r="B517">
        <v>1735</v>
      </c>
      <c r="C517">
        <v>1513</v>
      </c>
      <c r="D517">
        <v>1227</v>
      </c>
      <c r="E517">
        <f t="shared" ref="E517:E580" si="72">ROUND((D517+F517)/2,0)</f>
        <v>1047</v>
      </c>
      <c r="F517">
        <v>866</v>
      </c>
      <c r="G517">
        <f t="shared" ref="G517:G580" si="73">ROUND((F517+H517)/2,0)</f>
        <v>601</v>
      </c>
      <c r="H517">
        <v>335</v>
      </c>
      <c r="I517">
        <v>1158</v>
      </c>
      <c r="J517">
        <v>1001</v>
      </c>
      <c r="K517">
        <v>805</v>
      </c>
      <c r="L517">
        <f t="shared" ref="L517:L580" si="74">ROUND((K517+M517)/2,0)</f>
        <v>684</v>
      </c>
      <c r="M517">
        <v>563</v>
      </c>
      <c r="N517">
        <f t="shared" ref="N517:N580" si="75">ROUND((M517+O517)/2,0)</f>
        <v>390</v>
      </c>
      <c r="O517">
        <v>216</v>
      </c>
      <c r="P517">
        <v>1300</v>
      </c>
      <c r="Q517">
        <v>1158</v>
      </c>
      <c r="R517">
        <v>960</v>
      </c>
      <c r="S517">
        <f t="shared" ref="S517:S580" si="76">ROUND((R517+T517)/2,0)</f>
        <v>832</v>
      </c>
      <c r="T517">
        <v>704</v>
      </c>
      <c r="U517">
        <f t="shared" ref="U517:U580" si="77">ROUND((T517+V517)/2,0)</f>
        <v>498</v>
      </c>
      <c r="V517">
        <v>292</v>
      </c>
      <c r="W517">
        <v>868</v>
      </c>
      <c r="X517">
        <v>766</v>
      </c>
      <c r="Y517">
        <v>630</v>
      </c>
      <c r="Z517">
        <f t="shared" ref="Z517:Z580" si="78">ROUND((Y517+AA517)/2,0)</f>
        <v>544</v>
      </c>
      <c r="AA517">
        <v>457</v>
      </c>
      <c r="AB517">
        <f t="shared" ref="AB517:AB580" si="79">ROUND((AA517+AC517)/2,0)</f>
        <v>323</v>
      </c>
      <c r="AC517">
        <v>188</v>
      </c>
    </row>
    <row r="518" spans="1:29" x14ac:dyDescent="0.25">
      <c r="A518" t="s">
        <v>525</v>
      </c>
      <c r="B518">
        <v>1614</v>
      </c>
      <c r="C518">
        <v>1414</v>
      </c>
      <c r="D518">
        <v>1151</v>
      </c>
      <c r="E518">
        <f t="shared" si="72"/>
        <v>983</v>
      </c>
      <c r="F518">
        <v>815</v>
      </c>
      <c r="G518">
        <f t="shared" si="73"/>
        <v>565</v>
      </c>
      <c r="H518">
        <v>315</v>
      </c>
      <c r="I518">
        <v>1110</v>
      </c>
      <c r="J518">
        <v>962</v>
      </c>
      <c r="K518">
        <v>774</v>
      </c>
      <c r="L518">
        <f t="shared" si="74"/>
        <v>658</v>
      </c>
      <c r="M518">
        <v>542</v>
      </c>
      <c r="N518">
        <f t="shared" si="75"/>
        <v>375</v>
      </c>
      <c r="O518">
        <v>207</v>
      </c>
      <c r="P518">
        <v>1210</v>
      </c>
      <c r="Q518">
        <v>1082</v>
      </c>
      <c r="R518">
        <v>901</v>
      </c>
      <c r="S518">
        <f t="shared" si="76"/>
        <v>782</v>
      </c>
      <c r="T518">
        <v>662</v>
      </c>
      <c r="U518">
        <f t="shared" si="77"/>
        <v>469</v>
      </c>
      <c r="V518">
        <v>275</v>
      </c>
      <c r="W518">
        <v>832</v>
      </c>
      <c r="X518">
        <v>736</v>
      </c>
      <c r="Y518">
        <v>606</v>
      </c>
      <c r="Z518">
        <f t="shared" si="78"/>
        <v>523</v>
      </c>
      <c r="AA518">
        <v>440</v>
      </c>
      <c r="AB518">
        <f t="shared" si="79"/>
        <v>311</v>
      </c>
      <c r="AC518">
        <v>181</v>
      </c>
    </row>
    <row r="519" spans="1:29" x14ac:dyDescent="0.25">
      <c r="A519" t="s">
        <v>526</v>
      </c>
      <c r="B519">
        <v>1490</v>
      </c>
      <c r="C519">
        <v>1312</v>
      </c>
      <c r="D519">
        <v>1072</v>
      </c>
      <c r="E519">
        <f t="shared" si="72"/>
        <v>917</v>
      </c>
      <c r="F519">
        <v>761</v>
      </c>
      <c r="G519">
        <f t="shared" si="73"/>
        <v>528</v>
      </c>
      <c r="H519">
        <v>294</v>
      </c>
      <c r="I519">
        <v>1062</v>
      </c>
      <c r="J519">
        <v>922</v>
      </c>
      <c r="K519">
        <v>743</v>
      </c>
      <c r="L519">
        <f t="shared" si="74"/>
        <v>632</v>
      </c>
      <c r="M519">
        <v>520</v>
      </c>
      <c r="N519">
        <f t="shared" si="75"/>
        <v>359</v>
      </c>
      <c r="O519">
        <v>198</v>
      </c>
      <c r="P519">
        <v>1117</v>
      </c>
      <c r="Q519">
        <v>1004</v>
      </c>
      <c r="R519">
        <v>839</v>
      </c>
      <c r="S519">
        <f t="shared" si="76"/>
        <v>729</v>
      </c>
      <c r="T519">
        <v>618</v>
      </c>
      <c r="U519">
        <f t="shared" si="77"/>
        <v>437</v>
      </c>
      <c r="V519">
        <v>256</v>
      </c>
      <c r="W519">
        <v>796</v>
      </c>
      <c r="X519">
        <v>706</v>
      </c>
      <c r="Y519">
        <v>582</v>
      </c>
      <c r="Z519">
        <f t="shared" si="78"/>
        <v>503</v>
      </c>
      <c r="AA519">
        <v>423</v>
      </c>
      <c r="AB519">
        <f t="shared" si="79"/>
        <v>298</v>
      </c>
      <c r="AC519">
        <v>173</v>
      </c>
    </row>
    <row r="520" spans="1:29" x14ac:dyDescent="0.25">
      <c r="A520" t="s">
        <v>527</v>
      </c>
      <c r="B520">
        <v>1361</v>
      </c>
      <c r="C520">
        <v>1202</v>
      </c>
      <c r="D520">
        <v>988</v>
      </c>
      <c r="E520">
        <f t="shared" si="72"/>
        <v>846</v>
      </c>
      <c r="F520">
        <v>703</v>
      </c>
      <c r="G520">
        <f t="shared" si="73"/>
        <v>487</v>
      </c>
      <c r="H520">
        <v>270</v>
      </c>
      <c r="I520">
        <v>1014</v>
      </c>
      <c r="J520">
        <v>882</v>
      </c>
      <c r="K520">
        <v>712</v>
      </c>
      <c r="L520">
        <f t="shared" si="74"/>
        <v>606</v>
      </c>
      <c r="M520">
        <v>499</v>
      </c>
      <c r="N520">
        <f t="shared" si="75"/>
        <v>344</v>
      </c>
      <c r="O520">
        <v>188</v>
      </c>
      <c r="P520">
        <v>1020</v>
      </c>
      <c r="Q520">
        <v>920</v>
      </c>
      <c r="R520">
        <v>774</v>
      </c>
      <c r="S520">
        <f t="shared" si="76"/>
        <v>673</v>
      </c>
      <c r="T520">
        <v>571</v>
      </c>
      <c r="U520">
        <f t="shared" si="77"/>
        <v>404</v>
      </c>
      <c r="V520">
        <v>236</v>
      </c>
      <c r="W520">
        <v>760</v>
      </c>
      <c r="X520">
        <v>675</v>
      </c>
      <c r="Y520">
        <v>558</v>
      </c>
      <c r="Z520">
        <f t="shared" si="78"/>
        <v>482</v>
      </c>
      <c r="AA520">
        <v>405</v>
      </c>
      <c r="AB520">
        <f t="shared" si="79"/>
        <v>285</v>
      </c>
      <c r="AC520">
        <v>164</v>
      </c>
    </row>
    <row r="521" spans="1:29" x14ac:dyDescent="0.25">
      <c r="A521" t="s">
        <v>528</v>
      </c>
      <c r="B521">
        <v>1220</v>
      </c>
      <c r="C521">
        <v>1084</v>
      </c>
      <c r="D521">
        <v>893</v>
      </c>
      <c r="E521">
        <f t="shared" si="72"/>
        <v>766</v>
      </c>
      <c r="F521">
        <v>638</v>
      </c>
      <c r="G521">
        <f t="shared" si="73"/>
        <v>442</v>
      </c>
      <c r="H521">
        <v>245</v>
      </c>
      <c r="I521">
        <v>963</v>
      </c>
      <c r="J521">
        <v>839</v>
      </c>
      <c r="K521">
        <v>679</v>
      </c>
      <c r="L521">
        <f t="shared" si="74"/>
        <v>577</v>
      </c>
      <c r="M521">
        <v>474</v>
      </c>
      <c r="N521">
        <f t="shared" si="75"/>
        <v>326</v>
      </c>
      <c r="O521">
        <v>178</v>
      </c>
      <c r="P521">
        <v>914</v>
      </c>
      <c r="Q521">
        <v>829</v>
      </c>
      <c r="R521">
        <v>699</v>
      </c>
      <c r="S521">
        <f t="shared" si="76"/>
        <v>609</v>
      </c>
      <c r="T521">
        <v>518</v>
      </c>
      <c r="U521">
        <f t="shared" si="77"/>
        <v>366</v>
      </c>
      <c r="V521">
        <v>213</v>
      </c>
      <c r="W521">
        <v>722</v>
      </c>
      <c r="X521">
        <v>642</v>
      </c>
      <c r="Y521">
        <v>531</v>
      </c>
      <c r="Z521">
        <f t="shared" si="78"/>
        <v>458</v>
      </c>
      <c r="AA521">
        <v>385</v>
      </c>
      <c r="AB521">
        <f t="shared" si="79"/>
        <v>270</v>
      </c>
      <c r="AC521">
        <v>155</v>
      </c>
    </row>
    <row r="522" spans="1:29" x14ac:dyDescent="0.25">
      <c r="A522" t="s">
        <v>529</v>
      </c>
      <c r="B522">
        <v>1080</v>
      </c>
      <c r="C522">
        <v>956</v>
      </c>
      <c r="D522">
        <v>792</v>
      </c>
      <c r="E522">
        <f t="shared" si="72"/>
        <v>680</v>
      </c>
      <c r="F522">
        <v>567</v>
      </c>
      <c r="G522">
        <f t="shared" si="73"/>
        <v>392</v>
      </c>
      <c r="H522">
        <v>216</v>
      </c>
      <c r="I522">
        <v>918</v>
      </c>
      <c r="J522">
        <v>796</v>
      </c>
      <c r="K522">
        <v>645</v>
      </c>
      <c r="L522">
        <f t="shared" si="74"/>
        <v>548</v>
      </c>
      <c r="M522">
        <v>450</v>
      </c>
      <c r="N522">
        <f t="shared" si="75"/>
        <v>310</v>
      </c>
      <c r="O522">
        <v>169</v>
      </c>
      <c r="P522">
        <v>810</v>
      </c>
      <c r="Q522">
        <v>731</v>
      </c>
      <c r="R522">
        <v>620</v>
      </c>
      <c r="S522">
        <f t="shared" si="76"/>
        <v>540</v>
      </c>
      <c r="T522">
        <v>460</v>
      </c>
      <c r="U522">
        <f t="shared" si="77"/>
        <v>324</v>
      </c>
      <c r="V522">
        <v>188</v>
      </c>
      <c r="W522">
        <v>688</v>
      </c>
      <c r="X522">
        <v>609</v>
      </c>
      <c r="Y522">
        <v>505</v>
      </c>
      <c r="Z522">
        <f t="shared" si="78"/>
        <v>435</v>
      </c>
      <c r="AA522">
        <v>365</v>
      </c>
      <c r="AB522">
        <f t="shared" si="79"/>
        <v>256</v>
      </c>
      <c r="AC522">
        <v>147</v>
      </c>
    </row>
    <row r="523" spans="1:29" x14ac:dyDescent="0.25">
      <c r="A523" t="s">
        <v>530</v>
      </c>
      <c r="B523">
        <v>1732</v>
      </c>
      <c r="C523">
        <v>1509</v>
      </c>
      <c r="D523">
        <v>1220</v>
      </c>
      <c r="E523">
        <f t="shared" si="72"/>
        <v>1040</v>
      </c>
      <c r="F523">
        <v>860</v>
      </c>
      <c r="G523">
        <f t="shared" si="73"/>
        <v>596</v>
      </c>
      <c r="H523">
        <v>332</v>
      </c>
      <c r="I523">
        <v>1156</v>
      </c>
      <c r="J523">
        <v>1000</v>
      </c>
      <c r="K523">
        <v>802</v>
      </c>
      <c r="L523">
        <f t="shared" si="74"/>
        <v>681</v>
      </c>
      <c r="M523">
        <v>560</v>
      </c>
      <c r="N523">
        <f t="shared" si="75"/>
        <v>388</v>
      </c>
      <c r="O523">
        <v>215</v>
      </c>
      <c r="P523">
        <v>1298</v>
      </c>
      <c r="Q523">
        <v>1155</v>
      </c>
      <c r="R523">
        <v>955</v>
      </c>
      <c r="S523">
        <f t="shared" si="76"/>
        <v>827</v>
      </c>
      <c r="T523">
        <v>699</v>
      </c>
      <c r="U523">
        <f t="shared" si="77"/>
        <v>494</v>
      </c>
      <c r="V523">
        <v>289</v>
      </c>
      <c r="W523">
        <v>867</v>
      </c>
      <c r="X523">
        <v>765</v>
      </c>
      <c r="Y523">
        <v>627</v>
      </c>
      <c r="Z523">
        <f t="shared" si="78"/>
        <v>541</v>
      </c>
      <c r="AA523">
        <v>455</v>
      </c>
      <c r="AB523">
        <f t="shared" si="79"/>
        <v>321</v>
      </c>
      <c r="AC523">
        <v>187</v>
      </c>
    </row>
    <row r="524" spans="1:29" x14ac:dyDescent="0.25">
      <c r="A524" t="s">
        <v>531</v>
      </c>
      <c r="B524">
        <v>1610</v>
      </c>
      <c r="C524">
        <v>1408</v>
      </c>
      <c r="D524">
        <v>1145</v>
      </c>
      <c r="E524">
        <f t="shared" si="72"/>
        <v>977</v>
      </c>
      <c r="F524">
        <v>809</v>
      </c>
      <c r="G524">
        <f t="shared" si="73"/>
        <v>560</v>
      </c>
      <c r="H524">
        <v>311</v>
      </c>
      <c r="I524">
        <v>1109</v>
      </c>
      <c r="J524">
        <v>959</v>
      </c>
      <c r="K524">
        <v>771</v>
      </c>
      <c r="L524">
        <f t="shared" si="74"/>
        <v>655</v>
      </c>
      <c r="M524">
        <v>539</v>
      </c>
      <c r="N524">
        <f t="shared" si="75"/>
        <v>372</v>
      </c>
      <c r="O524">
        <v>205</v>
      </c>
      <c r="P524">
        <v>1207</v>
      </c>
      <c r="Q524">
        <v>1078</v>
      </c>
      <c r="R524">
        <v>897</v>
      </c>
      <c r="S524">
        <f t="shared" si="76"/>
        <v>777</v>
      </c>
      <c r="T524">
        <v>657</v>
      </c>
      <c r="U524">
        <f t="shared" si="77"/>
        <v>464</v>
      </c>
      <c r="V524">
        <v>271</v>
      </c>
      <c r="W524">
        <v>831</v>
      </c>
      <c r="X524">
        <v>734</v>
      </c>
      <c r="Y524">
        <v>604</v>
      </c>
      <c r="Z524">
        <f t="shared" si="78"/>
        <v>521</v>
      </c>
      <c r="AA524">
        <v>438</v>
      </c>
      <c r="AB524">
        <f t="shared" si="79"/>
        <v>309</v>
      </c>
      <c r="AC524">
        <v>179</v>
      </c>
    </row>
    <row r="525" spans="1:29" x14ac:dyDescent="0.25">
      <c r="A525" t="s">
        <v>532</v>
      </c>
      <c r="B525">
        <v>1484</v>
      </c>
      <c r="C525">
        <v>1305</v>
      </c>
      <c r="D525">
        <v>1065</v>
      </c>
      <c r="E525">
        <f t="shared" si="72"/>
        <v>910</v>
      </c>
      <c r="F525">
        <v>755</v>
      </c>
      <c r="G525">
        <f t="shared" si="73"/>
        <v>523</v>
      </c>
      <c r="H525">
        <v>290</v>
      </c>
      <c r="I525">
        <v>1060</v>
      </c>
      <c r="J525">
        <v>920</v>
      </c>
      <c r="K525">
        <v>741</v>
      </c>
      <c r="L525">
        <f t="shared" si="74"/>
        <v>630</v>
      </c>
      <c r="M525">
        <v>518</v>
      </c>
      <c r="N525">
        <f t="shared" si="75"/>
        <v>357</v>
      </c>
      <c r="O525">
        <v>196</v>
      </c>
      <c r="P525">
        <v>1113</v>
      </c>
      <c r="Q525">
        <v>998</v>
      </c>
      <c r="R525">
        <v>834</v>
      </c>
      <c r="S525">
        <f t="shared" si="76"/>
        <v>724</v>
      </c>
      <c r="T525">
        <v>613</v>
      </c>
      <c r="U525">
        <f t="shared" si="77"/>
        <v>433</v>
      </c>
      <c r="V525">
        <v>253</v>
      </c>
      <c r="W525">
        <v>795</v>
      </c>
      <c r="X525">
        <v>703</v>
      </c>
      <c r="Y525">
        <v>580</v>
      </c>
      <c r="Z525">
        <f t="shared" si="78"/>
        <v>501</v>
      </c>
      <c r="AA525">
        <v>421</v>
      </c>
      <c r="AB525">
        <f t="shared" si="79"/>
        <v>296</v>
      </c>
      <c r="AC525">
        <v>171</v>
      </c>
    </row>
    <row r="526" spans="1:29" x14ac:dyDescent="0.25">
      <c r="A526" t="s">
        <v>533</v>
      </c>
      <c r="B526">
        <v>1355</v>
      </c>
      <c r="C526">
        <v>1196</v>
      </c>
      <c r="D526">
        <v>981</v>
      </c>
      <c r="E526">
        <f t="shared" si="72"/>
        <v>839</v>
      </c>
      <c r="F526">
        <v>697</v>
      </c>
      <c r="G526">
        <f t="shared" si="73"/>
        <v>483</v>
      </c>
      <c r="H526">
        <v>268</v>
      </c>
      <c r="I526">
        <v>1013</v>
      </c>
      <c r="J526">
        <v>880</v>
      </c>
      <c r="K526">
        <v>710</v>
      </c>
      <c r="L526">
        <f t="shared" si="74"/>
        <v>603</v>
      </c>
      <c r="M526">
        <v>496</v>
      </c>
      <c r="N526">
        <f t="shared" si="75"/>
        <v>342</v>
      </c>
      <c r="O526">
        <v>187</v>
      </c>
      <c r="P526">
        <v>1016</v>
      </c>
      <c r="Q526">
        <v>915</v>
      </c>
      <c r="R526">
        <v>768</v>
      </c>
      <c r="S526">
        <f t="shared" si="76"/>
        <v>667</v>
      </c>
      <c r="T526">
        <v>566</v>
      </c>
      <c r="U526">
        <f t="shared" si="77"/>
        <v>400</v>
      </c>
      <c r="V526">
        <v>233</v>
      </c>
      <c r="W526">
        <v>759</v>
      </c>
      <c r="X526">
        <v>673</v>
      </c>
      <c r="Y526">
        <v>556</v>
      </c>
      <c r="Z526">
        <f t="shared" si="78"/>
        <v>480</v>
      </c>
      <c r="AA526">
        <v>403</v>
      </c>
      <c r="AB526">
        <f t="shared" si="79"/>
        <v>283</v>
      </c>
      <c r="AC526">
        <v>163</v>
      </c>
    </row>
    <row r="527" spans="1:29" x14ac:dyDescent="0.25">
      <c r="A527" t="s">
        <v>534</v>
      </c>
      <c r="B527">
        <v>1217</v>
      </c>
      <c r="C527">
        <v>1081</v>
      </c>
      <c r="D527">
        <v>890</v>
      </c>
      <c r="E527">
        <f t="shared" si="72"/>
        <v>762</v>
      </c>
      <c r="F527">
        <v>634</v>
      </c>
      <c r="G527">
        <f t="shared" si="73"/>
        <v>439</v>
      </c>
      <c r="H527">
        <v>243</v>
      </c>
      <c r="I527">
        <v>963</v>
      </c>
      <c r="J527">
        <v>839</v>
      </c>
      <c r="K527">
        <v>677</v>
      </c>
      <c r="L527">
        <f t="shared" si="74"/>
        <v>576</v>
      </c>
      <c r="M527">
        <v>474</v>
      </c>
      <c r="N527">
        <f t="shared" si="75"/>
        <v>326</v>
      </c>
      <c r="O527">
        <v>177</v>
      </c>
      <c r="P527">
        <v>912</v>
      </c>
      <c r="Q527">
        <v>827</v>
      </c>
      <c r="R527">
        <v>696</v>
      </c>
      <c r="S527">
        <f t="shared" si="76"/>
        <v>606</v>
      </c>
      <c r="T527">
        <v>515</v>
      </c>
      <c r="U527">
        <f t="shared" si="77"/>
        <v>364</v>
      </c>
      <c r="V527">
        <v>212</v>
      </c>
      <c r="W527">
        <v>721</v>
      </c>
      <c r="X527">
        <v>642</v>
      </c>
      <c r="Y527">
        <v>529</v>
      </c>
      <c r="Z527">
        <f t="shared" si="78"/>
        <v>457</v>
      </c>
      <c r="AA527">
        <v>385</v>
      </c>
      <c r="AB527">
        <f t="shared" si="79"/>
        <v>270</v>
      </c>
      <c r="AC527">
        <v>155</v>
      </c>
    </row>
    <row r="528" spans="1:29" x14ac:dyDescent="0.25">
      <c r="A528" t="s">
        <v>535</v>
      </c>
      <c r="B528">
        <v>1077</v>
      </c>
      <c r="C528">
        <v>952</v>
      </c>
      <c r="D528">
        <v>789</v>
      </c>
      <c r="E528">
        <f t="shared" si="72"/>
        <v>677</v>
      </c>
      <c r="F528">
        <v>564</v>
      </c>
      <c r="G528">
        <f t="shared" si="73"/>
        <v>390</v>
      </c>
      <c r="H528">
        <v>216</v>
      </c>
      <c r="I528">
        <v>917</v>
      </c>
      <c r="J528">
        <v>794</v>
      </c>
      <c r="K528">
        <v>644</v>
      </c>
      <c r="L528">
        <f t="shared" si="74"/>
        <v>547</v>
      </c>
      <c r="M528">
        <v>450</v>
      </c>
      <c r="N528">
        <f t="shared" si="75"/>
        <v>309</v>
      </c>
      <c r="O528">
        <v>168</v>
      </c>
      <c r="P528">
        <v>807</v>
      </c>
      <c r="Q528">
        <v>729</v>
      </c>
      <c r="R528">
        <v>617</v>
      </c>
      <c r="S528">
        <f t="shared" si="76"/>
        <v>538</v>
      </c>
      <c r="T528">
        <v>458</v>
      </c>
      <c r="U528">
        <f t="shared" si="77"/>
        <v>323</v>
      </c>
      <c r="V528">
        <v>188</v>
      </c>
      <c r="W528">
        <v>687</v>
      </c>
      <c r="X528">
        <v>608</v>
      </c>
      <c r="Y528">
        <v>504</v>
      </c>
      <c r="Z528">
        <f t="shared" si="78"/>
        <v>435</v>
      </c>
      <c r="AA528">
        <v>365</v>
      </c>
      <c r="AB528">
        <f t="shared" si="79"/>
        <v>256</v>
      </c>
      <c r="AC528">
        <v>147</v>
      </c>
    </row>
    <row r="529" spans="1:29" x14ac:dyDescent="0.25">
      <c r="A529" t="s">
        <v>536</v>
      </c>
      <c r="B529">
        <v>916</v>
      </c>
      <c r="C529">
        <v>815</v>
      </c>
      <c r="D529">
        <v>679</v>
      </c>
      <c r="E529">
        <f t="shared" si="72"/>
        <v>584</v>
      </c>
      <c r="F529">
        <v>488</v>
      </c>
      <c r="G529">
        <f t="shared" si="73"/>
        <v>336</v>
      </c>
      <c r="H529">
        <v>184</v>
      </c>
      <c r="I529">
        <v>864</v>
      </c>
      <c r="J529">
        <v>749</v>
      </c>
      <c r="K529">
        <v>608</v>
      </c>
      <c r="L529">
        <f t="shared" si="74"/>
        <v>517</v>
      </c>
      <c r="M529">
        <v>425</v>
      </c>
      <c r="N529">
        <f t="shared" si="75"/>
        <v>291</v>
      </c>
      <c r="O529">
        <v>157</v>
      </c>
      <c r="P529">
        <v>687</v>
      </c>
      <c r="Q529">
        <v>623</v>
      </c>
      <c r="R529">
        <v>532</v>
      </c>
      <c r="S529">
        <f t="shared" si="76"/>
        <v>464</v>
      </c>
      <c r="T529">
        <v>396</v>
      </c>
      <c r="U529">
        <f t="shared" si="77"/>
        <v>278</v>
      </c>
      <c r="V529">
        <v>160</v>
      </c>
      <c r="W529">
        <v>648</v>
      </c>
      <c r="X529">
        <v>572</v>
      </c>
      <c r="Y529">
        <v>477</v>
      </c>
      <c r="Z529">
        <f t="shared" si="78"/>
        <v>411</v>
      </c>
      <c r="AA529">
        <v>345</v>
      </c>
      <c r="AB529">
        <f t="shared" si="79"/>
        <v>241</v>
      </c>
      <c r="AC529">
        <v>137</v>
      </c>
    </row>
    <row r="530" spans="1:29" x14ac:dyDescent="0.25">
      <c r="A530" t="s">
        <v>537</v>
      </c>
      <c r="B530">
        <v>1606</v>
      </c>
      <c r="C530">
        <v>1403</v>
      </c>
      <c r="D530">
        <v>1138</v>
      </c>
      <c r="E530">
        <f t="shared" si="72"/>
        <v>970</v>
      </c>
      <c r="F530">
        <v>802</v>
      </c>
      <c r="G530">
        <f t="shared" si="73"/>
        <v>555</v>
      </c>
      <c r="H530">
        <v>308</v>
      </c>
      <c r="I530">
        <v>1107</v>
      </c>
      <c r="J530">
        <v>959</v>
      </c>
      <c r="K530">
        <v>769</v>
      </c>
      <c r="L530">
        <f t="shared" si="74"/>
        <v>653</v>
      </c>
      <c r="M530">
        <v>536</v>
      </c>
      <c r="N530">
        <f t="shared" si="75"/>
        <v>370</v>
      </c>
      <c r="O530">
        <v>204</v>
      </c>
      <c r="P530">
        <v>1204</v>
      </c>
      <c r="Q530">
        <v>1073</v>
      </c>
      <c r="R530">
        <v>891</v>
      </c>
      <c r="S530">
        <f t="shared" si="76"/>
        <v>772</v>
      </c>
      <c r="T530">
        <v>652</v>
      </c>
      <c r="U530">
        <f t="shared" si="77"/>
        <v>460</v>
      </c>
      <c r="V530">
        <v>268</v>
      </c>
      <c r="W530">
        <v>830</v>
      </c>
      <c r="X530">
        <v>733</v>
      </c>
      <c r="Y530">
        <v>602</v>
      </c>
      <c r="Z530">
        <f t="shared" si="78"/>
        <v>519</v>
      </c>
      <c r="AA530">
        <v>436</v>
      </c>
      <c r="AB530">
        <f t="shared" si="79"/>
        <v>307</v>
      </c>
      <c r="AC530">
        <v>177</v>
      </c>
    </row>
    <row r="531" spans="1:29" x14ac:dyDescent="0.25">
      <c r="A531" t="s">
        <v>538</v>
      </c>
      <c r="B531">
        <v>1479</v>
      </c>
      <c r="C531">
        <v>1298</v>
      </c>
      <c r="D531">
        <v>1057</v>
      </c>
      <c r="E531">
        <f t="shared" si="72"/>
        <v>903</v>
      </c>
      <c r="F531">
        <v>748</v>
      </c>
      <c r="G531">
        <f t="shared" si="73"/>
        <v>518</v>
      </c>
      <c r="H531">
        <v>287</v>
      </c>
      <c r="I531">
        <v>1058</v>
      </c>
      <c r="J531">
        <v>917</v>
      </c>
      <c r="K531">
        <v>737</v>
      </c>
      <c r="L531">
        <f t="shared" si="74"/>
        <v>626</v>
      </c>
      <c r="M531">
        <v>515</v>
      </c>
      <c r="N531">
        <f t="shared" si="75"/>
        <v>355</v>
      </c>
      <c r="O531">
        <v>195</v>
      </c>
      <c r="P531">
        <v>1109</v>
      </c>
      <c r="Q531">
        <v>993</v>
      </c>
      <c r="R531">
        <v>828</v>
      </c>
      <c r="S531">
        <f t="shared" si="76"/>
        <v>718</v>
      </c>
      <c r="T531">
        <v>608</v>
      </c>
      <c r="U531">
        <f t="shared" si="77"/>
        <v>429</v>
      </c>
      <c r="V531">
        <v>250</v>
      </c>
      <c r="W531">
        <v>793</v>
      </c>
      <c r="X531">
        <v>702</v>
      </c>
      <c r="Y531">
        <v>577</v>
      </c>
      <c r="Z531">
        <f t="shared" si="78"/>
        <v>498</v>
      </c>
      <c r="AA531">
        <v>419</v>
      </c>
      <c r="AB531">
        <f t="shared" si="79"/>
        <v>295</v>
      </c>
      <c r="AC531">
        <v>170</v>
      </c>
    </row>
    <row r="532" spans="1:29" x14ac:dyDescent="0.25">
      <c r="A532" t="s">
        <v>539</v>
      </c>
      <c r="B532">
        <v>1348</v>
      </c>
      <c r="C532">
        <v>1188</v>
      </c>
      <c r="D532">
        <v>974</v>
      </c>
      <c r="E532">
        <f t="shared" si="72"/>
        <v>833</v>
      </c>
      <c r="F532">
        <v>691</v>
      </c>
      <c r="G532">
        <f t="shared" si="73"/>
        <v>478</v>
      </c>
      <c r="H532">
        <v>265</v>
      </c>
      <c r="I532">
        <v>1010</v>
      </c>
      <c r="J532">
        <v>876</v>
      </c>
      <c r="K532">
        <v>707</v>
      </c>
      <c r="L532">
        <f t="shared" si="74"/>
        <v>601</v>
      </c>
      <c r="M532">
        <v>494</v>
      </c>
      <c r="N532">
        <f t="shared" si="75"/>
        <v>341</v>
      </c>
      <c r="O532">
        <v>187</v>
      </c>
      <c r="P532">
        <v>1011</v>
      </c>
      <c r="Q532">
        <v>909</v>
      </c>
      <c r="R532">
        <v>762</v>
      </c>
      <c r="S532">
        <f t="shared" si="76"/>
        <v>662</v>
      </c>
      <c r="T532">
        <v>561</v>
      </c>
      <c r="U532">
        <f t="shared" si="77"/>
        <v>396</v>
      </c>
      <c r="V532">
        <v>230</v>
      </c>
      <c r="W532">
        <v>757</v>
      </c>
      <c r="X532">
        <v>670</v>
      </c>
      <c r="Y532">
        <v>553</v>
      </c>
      <c r="Z532">
        <f t="shared" si="78"/>
        <v>477</v>
      </c>
      <c r="AA532">
        <v>401</v>
      </c>
      <c r="AB532">
        <f t="shared" si="79"/>
        <v>282</v>
      </c>
      <c r="AC532">
        <v>162</v>
      </c>
    </row>
    <row r="533" spans="1:29" x14ac:dyDescent="0.25">
      <c r="A533" t="s">
        <v>540</v>
      </c>
      <c r="B533">
        <v>1212</v>
      </c>
      <c r="C533">
        <v>1075</v>
      </c>
      <c r="D533">
        <v>885</v>
      </c>
      <c r="E533">
        <f t="shared" si="72"/>
        <v>758</v>
      </c>
      <c r="F533">
        <v>631</v>
      </c>
      <c r="G533">
        <f t="shared" si="73"/>
        <v>436</v>
      </c>
      <c r="H533">
        <v>241</v>
      </c>
      <c r="I533">
        <v>961</v>
      </c>
      <c r="J533">
        <v>837</v>
      </c>
      <c r="K533">
        <v>676</v>
      </c>
      <c r="L533">
        <f t="shared" si="74"/>
        <v>574</v>
      </c>
      <c r="M533">
        <v>472</v>
      </c>
      <c r="N533">
        <f t="shared" si="75"/>
        <v>325</v>
      </c>
      <c r="O533">
        <v>177</v>
      </c>
      <c r="P533">
        <v>908</v>
      </c>
      <c r="Q533">
        <v>822</v>
      </c>
      <c r="R533">
        <v>693</v>
      </c>
      <c r="S533">
        <f t="shared" si="76"/>
        <v>603</v>
      </c>
      <c r="T533">
        <v>512</v>
      </c>
      <c r="U533">
        <f t="shared" si="77"/>
        <v>361</v>
      </c>
      <c r="V533">
        <v>210</v>
      </c>
      <c r="W533">
        <v>720</v>
      </c>
      <c r="X533">
        <v>640</v>
      </c>
      <c r="Y533">
        <v>529</v>
      </c>
      <c r="Z533">
        <f t="shared" si="78"/>
        <v>456</v>
      </c>
      <c r="AA533">
        <v>383</v>
      </c>
      <c r="AB533">
        <f t="shared" si="79"/>
        <v>269</v>
      </c>
      <c r="AC533">
        <v>154</v>
      </c>
    </row>
    <row r="534" spans="1:29" x14ac:dyDescent="0.25">
      <c r="A534" t="s">
        <v>541</v>
      </c>
      <c r="B534">
        <v>1073</v>
      </c>
      <c r="C534">
        <v>948</v>
      </c>
      <c r="D534">
        <v>785</v>
      </c>
      <c r="E534">
        <f t="shared" si="72"/>
        <v>674</v>
      </c>
      <c r="F534">
        <v>562</v>
      </c>
      <c r="G534">
        <f t="shared" si="73"/>
        <v>389</v>
      </c>
      <c r="H534">
        <v>216</v>
      </c>
      <c r="I534">
        <v>917</v>
      </c>
      <c r="J534">
        <v>793</v>
      </c>
      <c r="K534">
        <v>641</v>
      </c>
      <c r="L534">
        <f t="shared" si="74"/>
        <v>545</v>
      </c>
      <c r="M534">
        <v>449</v>
      </c>
      <c r="N534">
        <f t="shared" si="75"/>
        <v>309</v>
      </c>
      <c r="O534">
        <v>169</v>
      </c>
      <c r="P534">
        <v>804</v>
      </c>
      <c r="Q534">
        <v>725</v>
      </c>
      <c r="R534">
        <v>614</v>
      </c>
      <c r="S534">
        <f t="shared" si="76"/>
        <v>535</v>
      </c>
      <c r="T534">
        <v>456</v>
      </c>
      <c r="U534">
        <f t="shared" si="77"/>
        <v>322</v>
      </c>
      <c r="V534">
        <v>188</v>
      </c>
      <c r="W534">
        <v>687</v>
      </c>
      <c r="X534">
        <v>606</v>
      </c>
      <c r="Y534">
        <v>502</v>
      </c>
      <c r="Z534">
        <f t="shared" si="78"/>
        <v>433</v>
      </c>
      <c r="AA534">
        <v>364</v>
      </c>
      <c r="AB534">
        <f t="shared" si="79"/>
        <v>256</v>
      </c>
      <c r="AC534">
        <v>147</v>
      </c>
    </row>
    <row r="535" spans="1:29" x14ac:dyDescent="0.25">
      <c r="A535" t="s">
        <v>542</v>
      </c>
      <c r="B535">
        <v>912</v>
      </c>
      <c r="C535">
        <v>811</v>
      </c>
      <c r="D535">
        <v>675</v>
      </c>
      <c r="E535">
        <f t="shared" si="72"/>
        <v>580</v>
      </c>
      <c r="F535">
        <v>485</v>
      </c>
      <c r="G535">
        <f t="shared" si="73"/>
        <v>334</v>
      </c>
      <c r="H535">
        <v>183</v>
      </c>
      <c r="I535">
        <v>863</v>
      </c>
      <c r="J535">
        <v>748</v>
      </c>
      <c r="K535">
        <v>607</v>
      </c>
      <c r="L535">
        <f t="shared" si="74"/>
        <v>516</v>
      </c>
      <c r="M535">
        <v>424</v>
      </c>
      <c r="N535">
        <f t="shared" si="75"/>
        <v>291</v>
      </c>
      <c r="O535">
        <v>157</v>
      </c>
      <c r="P535">
        <v>684</v>
      </c>
      <c r="Q535">
        <v>621</v>
      </c>
      <c r="R535">
        <v>529</v>
      </c>
      <c r="S535">
        <f t="shared" si="76"/>
        <v>462</v>
      </c>
      <c r="T535">
        <v>394</v>
      </c>
      <c r="U535">
        <f t="shared" si="77"/>
        <v>277</v>
      </c>
      <c r="V535">
        <v>160</v>
      </c>
      <c r="W535">
        <v>647</v>
      </c>
      <c r="X535">
        <v>573</v>
      </c>
      <c r="Y535">
        <v>476</v>
      </c>
      <c r="Z535">
        <f t="shared" si="78"/>
        <v>410</v>
      </c>
      <c r="AA535">
        <v>344</v>
      </c>
      <c r="AB535">
        <f t="shared" si="79"/>
        <v>241</v>
      </c>
      <c r="AC535">
        <v>137</v>
      </c>
    </row>
    <row r="536" spans="1:29" x14ac:dyDescent="0.25">
      <c r="A536" t="s">
        <v>543</v>
      </c>
      <c r="B536">
        <v>841</v>
      </c>
      <c r="C536">
        <v>740</v>
      </c>
      <c r="D536">
        <v>601</v>
      </c>
      <c r="E536">
        <f t="shared" si="72"/>
        <v>511</v>
      </c>
      <c r="F536">
        <v>421</v>
      </c>
      <c r="G536">
        <f t="shared" si="73"/>
        <v>289</v>
      </c>
      <c r="H536">
        <v>157</v>
      </c>
      <c r="I536">
        <v>841</v>
      </c>
      <c r="J536">
        <v>740</v>
      </c>
      <c r="K536">
        <v>601</v>
      </c>
      <c r="L536">
        <f t="shared" si="74"/>
        <v>511</v>
      </c>
      <c r="M536">
        <v>421</v>
      </c>
      <c r="N536">
        <f t="shared" si="75"/>
        <v>289</v>
      </c>
      <c r="O536">
        <v>157</v>
      </c>
      <c r="P536">
        <v>631</v>
      </c>
      <c r="Q536">
        <v>566</v>
      </c>
      <c r="R536">
        <v>471</v>
      </c>
      <c r="S536">
        <f t="shared" si="76"/>
        <v>407</v>
      </c>
      <c r="T536">
        <v>342</v>
      </c>
      <c r="U536">
        <f t="shared" si="77"/>
        <v>240</v>
      </c>
      <c r="V536">
        <v>137</v>
      </c>
      <c r="W536">
        <v>631</v>
      </c>
      <c r="X536">
        <v>566</v>
      </c>
      <c r="Y536">
        <v>471</v>
      </c>
      <c r="Z536">
        <f t="shared" si="78"/>
        <v>407</v>
      </c>
      <c r="AA536">
        <v>342</v>
      </c>
      <c r="AB536">
        <f t="shared" si="79"/>
        <v>240</v>
      </c>
      <c r="AC536">
        <v>137</v>
      </c>
    </row>
    <row r="537" spans="1:29" x14ac:dyDescent="0.25">
      <c r="A537" t="s">
        <v>544</v>
      </c>
      <c r="B537">
        <v>1474</v>
      </c>
      <c r="C537">
        <v>1291</v>
      </c>
      <c r="D537">
        <v>1050</v>
      </c>
      <c r="E537">
        <f t="shared" si="72"/>
        <v>896</v>
      </c>
      <c r="F537">
        <v>741</v>
      </c>
      <c r="G537">
        <f t="shared" si="73"/>
        <v>512</v>
      </c>
      <c r="H537">
        <v>283</v>
      </c>
      <c r="I537">
        <v>1056</v>
      </c>
      <c r="J537">
        <v>915</v>
      </c>
      <c r="K537">
        <v>735</v>
      </c>
      <c r="L537">
        <f t="shared" si="74"/>
        <v>624</v>
      </c>
      <c r="M537">
        <v>513</v>
      </c>
      <c r="N537">
        <f t="shared" si="75"/>
        <v>353</v>
      </c>
      <c r="O537">
        <v>193</v>
      </c>
      <c r="P537">
        <v>1105</v>
      </c>
      <c r="Q537">
        <v>988</v>
      </c>
      <c r="R537">
        <v>822</v>
      </c>
      <c r="S537">
        <f t="shared" si="76"/>
        <v>712</v>
      </c>
      <c r="T537">
        <v>602</v>
      </c>
      <c r="U537">
        <f t="shared" si="77"/>
        <v>424</v>
      </c>
      <c r="V537">
        <v>246</v>
      </c>
      <c r="W537">
        <v>792</v>
      </c>
      <c r="X537">
        <v>700</v>
      </c>
      <c r="Y537">
        <v>575</v>
      </c>
      <c r="Z537">
        <f t="shared" si="78"/>
        <v>496</v>
      </c>
      <c r="AA537">
        <v>417</v>
      </c>
      <c r="AB537">
        <f t="shared" si="79"/>
        <v>293</v>
      </c>
      <c r="AC537">
        <v>168</v>
      </c>
    </row>
    <row r="538" spans="1:29" x14ac:dyDescent="0.25">
      <c r="A538" t="s">
        <v>545</v>
      </c>
      <c r="B538">
        <v>1341</v>
      </c>
      <c r="C538">
        <v>1181</v>
      </c>
      <c r="D538">
        <v>966</v>
      </c>
      <c r="E538">
        <f t="shared" si="72"/>
        <v>825</v>
      </c>
      <c r="F538">
        <v>684</v>
      </c>
      <c r="G538">
        <f t="shared" si="73"/>
        <v>473</v>
      </c>
      <c r="H538">
        <v>261</v>
      </c>
      <c r="I538">
        <v>1006</v>
      </c>
      <c r="J538">
        <v>874</v>
      </c>
      <c r="K538">
        <v>704</v>
      </c>
      <c r="L538">
        <f t="shared" si="74"/>
        <v>598</v>
      </c>
      <c r="M538">
        <v>491</v>
      </c>
      <c r="N538">
        <f t="shared" si="75"/>
        <v>338</v>
      </c>
      <c r="O538">
        <v>185</v>
      </c>
      <c r="P538">
        <v>1005</v>
      </c>
      <c r="Q538">
        <v>903</v>
      </c>
      <c r="R538">
        <v>756</v>
      </c>
      <c r="S538">
        <f t="shared" si="76"/>
        <v>656</v>
      </c>
      <c r="T538">
        <v>556</v>
      </c>
      <c r="U538">
        <f t="shared" si="77"/>
        <v>392</v>
      </c>
      <c r="V538">
        <v>227</v>
      </c>
      <c r="W538">
        <v>754</v>
      </c>
      <c r="X538">
        <v>669</v>
      </c>
      <c r="Y538">
        <v>551</v>
      </c>
      <c r="Z538">
        <f t="shared" si="78"/>
        <v>475</v>
      </c>
      <c r="AA538">
        <v>399</v>
      </c>
      <c r="AB538">
        <f t="shared" si="79"/>
        <v>280</v>
      </c>
      <c r="AC538">
        <v>161</v>
      </c>
    </row>
    <row r="539" spans="1:29" x14ac:dyDescent="0.25">
      <c r="A539" t="s">
        <v>546</v>
      </c>
      <c r="B539">
        <v>1204</v>
      </c>
      <c r="C539">
        <v>1066</v>
      </c>
      <c r="D539">
        <v>876</v>
      </c>
      <c r="E539">
        <f t="shared" si="72"/>
        <v>750</v>
      </c>
      <c r="F539">
        <v>624</v>
      </c>
      <c r="G539">
        <f t="shared" si="73"/>
        <v>431</v>
      </c>
      <c r="H539">
        <v>238</v>
      </c>
      <c r="I539">
        <v>957</v>
      </c>
      <c r="J539">
        <v>833</v>
      </c>
      <c r="K539">
        <v>673</v>
      </c>
      <c r="L539">
        <f t="shared" si="74"/>
        <v>572</v>
      </c>
      <c r="M539">
        <v>470</v>
      </c>
      <c r="N539">
        <f t="shared" si="75"/>
        <v>323</v>
      </c>
      <c r="O539">
        <v>176</v>
      </c>
      <c r="P539">
        <v>903</v>
      </c>
      <c r="Q539">
        <v>815</v>
      </c>
      <c r="R539">
        <v>686</v>
      </c>
      <c r="S539">
        <f t="shared" si="76"/>
        <v>597</v>
      </c>
      <c r="T539">
        <v>507</v>
      </c>
      <c r="U539">
        <f t="shared" si="77"/>
        <v>357</v>
      </c>
      <c r="V539">
        <v>207</v>
      </c>
      <c r="W539">
        <v>718</v>
      </c>
      <c r="X539">
        <v>637</v>
      </c>
      <c r="Y539">
        <v>527</v>
      </c>
      <c r="Z539">
        <f t="shared" si="78"/>
        <v>455</v>
      </c>
      <c r="AA539">
        <v>382</v>
      </c>
      <c r="AB539">
        <f t="shared" si="79"/>
        <v>268</v>
      </c>
      <c r="AC539">
        <v>153</v>
      </c>
    </row>
    <row r="540" spans="1:29" x14ac:dyDescent="0.25">
      <c r="A540" t="s">
        <v>547</v>
      </c>
      <c r="B540">
        <v>1068</v>
      </c>
      <c r="C540">
        <v>943</v>
      </c>
      <c r="D540">
        <v>780</v>
      </c>
      <c r="E540">
        <f t="shared" si="72"/>
        <v>669</v>
      </c>
      <c r="F540">
        <v>558</v>
      </c>
      <c r="G540">
        <f t="shared" si="73"/>
        <v>385</v>
      </c>
      <c r="H540">
        <v>212</v>
      </c>
      <c r="I540">
        <v>914</v>
      </c>
      <c r="J540">
        <v>792</v>
      </c>
      <c r="K540">
        <v>641</v>
      </c>
      <c r="L540">
        <f t="shared" si="74"/>
        <v>545</v>
      </c>
      <c r="M540">
        <v>448</v>
      </c>
      <c r="N540">
        <f t="shared" si="75"/>
        <v>307</v>
      </c>
      <c r="O540">
        <v>165</v>
      </c>
      <c r="P540">
        <v>801</v>
      </c>
      <c r="Q540">
        <v>722</v>
      </c>
      <c r="R540">
        <v>611</v>
      </c>
      <c r="S540">
        <f t="shared" si="76"/>
        <v>532</v>
      </c>
      <c r="T540">
        <v>453</v>
      </c>
      <c r="U540">
        <f t="shared" si="77"/>
        <v>319</v>
      </c>
      <c r="V540">
        <v>185</v>
      </c>
      <c r="W540">
        <v>686</v>
      </c>
      <c r="X540">
        <v>606</v>
      </c>
      <c r="Y540">
        <v>502</v>
      </c>
      <c r="Z540">
        <f t="shared" si="78"/>
        <v>433</v>
      </c>
      <c r="AA540">
        <v>363</v>
      </c>
      <c r="AB540">
        <f t="shared" si="79"/>
        <v>254</v>
      </c>
      <c r="AC540">
        <v>144</v>
      </c>
    </row>
    <row r="541" spans="1:29" x14ac:dyDescent="0.25">
      <c r="A541" t="s">
        <v>548</v>
      </c>
      <c r="B541">
        <v>909</v>
      </c>
      <c r="C541">
        <v>807</v>
      </c>
      <c r="D541">
        <v>672</v>
      </c>
      <c r="E541">
        <f t="shared" si="72"/>
        <v>578</v>
      </c>
      <c r="F541">
        <v>483</v>
      </c>
      <c r="G541">
        <f t="shared" si="73"/>
        <v>333</v>
      </c>
      <c r="H541">
        <v>182</v>
      </c>
      <c r="I541">
        <v>861</v>
      </c>
      <c r="J541">
        <v>748</v>
      </c>
      <c r="K541">
        <v>605</v>
      </c>
      <c r="L541">
        <f t="shared" si="74"/>
        <v>514</v>
      </c>
      <c r="M541">
        <v>423</v>
      </c>
      <c r="N541">
        <f t="shared" si="75"/>
        <v>290</v>
      </c>
      <c r="O541">
        <v>157</v>
      </c>
      <c r="P541">
        <v>681</v>
      </c>
      <c r="Q541">
        <v>617</v>
      </c>
      <c r="R541">
        <v>526</v>
      </c>
      <c r="S541">
        <f t="shared" si="76"/>
        <v>459</v>
      </c>
      <c r="T541">
        <v>392</v>
      </c>
      <c r="U541">
        <f t="shared" si="77"/>
        <v>276</v>
      </c>
      <c r="V541">
        <v>159</v>
      </c>
      <c r="W541">
        <v>645</v>
      </c>
      <c r="X541">
        <v>572</v>
      </c>
      <c r="Y541">
        <v>474</v>
      </c>
      <c r="Z541">
        <f t="shared" si="78"/>
        <v>409</v>
      </c>
      <c r="AA541">
        <v>343</v>
      </c>
      <c r="AB541">
        <f t="shared" si="79"/>
        <v>240</v>
      </c>
      <c r="AC541">
        <v>137</v>
      </c>
    </row>
    <row r="542" spans="1:29" x14ac:dyDescent="0.25">
      <c r="A542" t="s">
        <v>549</v>
      </c>
      <c r="B542">
        <v>835</v>
      </c>
      <c r="C542">
        <v>741</v>
      </c>
      <c r="D542">
        <v>596</v>
      </c>
      <c r="E542">
        <f t="shared" si="72"/>
        <v>507</v>
      </c>
      <c r="F542">
        <v>417</v>
      </c>
      <c r="G542">
        <f t="shared" si="73"/>
        <v>286</v>
      </c>
      <c r="H542">
        <v>155</v>
      </c>
      <c r="I542">
        <v>835</v>
      </c>
      <c r="J542">
        <v>741</v>
      </c>
      <c r="K542">
        <v>596</v>
      </c>
      <c r="L542">
        <f t="shared" si="74"/>
        <v>507</v>
      </c>
      <c r="M542">
        <v>417</v>
      </c>
      <c r="N542">
        <f t="shared" si="75"/>
        <v>286</v>
      </c>
      <c r="O542">
        <v>155</v>
      </c>
      <c r="P542">
        <v>626</v>
      </c>
      <c r="Q542">
        <v>567</v>
      </c>
      <c r="R542">
        <v>467</v>
      </c>
      <c r="S542">
        <f t="shared" si="76"/>
        <v>403</v>
      </c>
      <c r="T542">
        <v>339</v>
      </c>
      <c r="U542">
        <f t="shared" si="77"/>
        <v>237</v>
      </c>
      <c r="V542">
        <v>135</v>
      </c>
      <c r="W542">
        <v>626</v>
      </c>
      <c r="X542">
        <v>567</v>
      </c>
      <c r="Y542">
        <v>467</v>
      </c>
      <c r="Z542">
        <f t="shared" si="78"/>
        <v>403</v>
      </c>
      <c r="AA542">
        <v>339</v>
      </c>
      <c r="AB542">
        <f t="shared" si="79"/>
        <v>237</v>
      </c>
      <c r="AC542">
        <v>135</v>
      </c>
    </row>
    <row r="543" spans="1:29" x14ac:dyDescent="0.25">
      <c r="A543" t="s">
        <v>550</v>
      </c>
      <c r="B543">
        <v>782</v>
      </c>
      <c r="C543">
        <v>696</v>
      </c>
      <c r="D543">
        <v>564</v>
      </c>
      <c r="E543">
        <f t="shared" si="72"/>
        <v>480</v>
      </c>
      <c r="F543">
        <v>395</v>
      </c>
      <c r="G543">
        <f t="shared" si="73"/>
        <v>271</v>
      </c>
      <c r="H543">
        <v>146</v>
      </c>
      <c r="I543">
        <v>782</v>
      </c>
      <c r="J543">
        <v>696</v>
      </c>
      <c r="K543">
        <v>564</v>
      </c>
      <c r="L543">
        <f t="shared" si="74"/>
        <v>480</v>
      </c>
      <c r="M543">
        <v>395</v>
      </c>
      <c r="N543">
        <f t="shared" si="75"/>
        <v>271</v>
      </c>
      <c r="O543">
        <v>146</v>
      </c>
      <c r="P543">
        <v>586</v>
      </c>
      <c r="Q543">
        <v>533</v>
      </c>
      <c r="R543">
        <v>441</v>
      </c>
      <c r="S543">
        <f t="shared" si="76"/>
        <v>381</v>
      </c>
      <c r="T543">
        <v>321</v>
      </c>
      <c r="U543">
        <f t="shared" si="77"/>
        <v>225</v>
      </c>
      <c r="V543">
        <v>128</v>
      </c>
      <c r="W543">
        <v>586</v>
      </c>
      <c r="X543">
        <v>533</v>
      </c>
      <c r="Y543">
        <v>441</v>
      </c>
      <c r="Z543">
        <f t="shared" si="78"/>
        <v>381</v>
      </c>
      <c r="AA543">
        <v>321</v>
      </c>
      <c r="AB543">
        <f t="shared" si="79"/>
        <v>225</v>
      </c>
      <c r="AC543">
        <v>128</v>
      </c>
    </row>
    <row r="544" spans="1:29" x14ac:dyDescent="0.25">
      <c r="A544" t="s">
        <v>551</v>
      </c>
      <c r="B544">
        <v>1335</v>
      </c>
      <c r="C544">
        <v>1174</v>
      </c>
      <c r="D544">
        <v>958</v>
      </c>
      <c r="E544">
        <f t="shared" si="72"/>
        <v>817</v>
      </c>
      <c r="F544">
        <v>676</v>
      </c>
      <c r="G544">
        <f t="shared" si="73"/>
        <v>466</v>
      </c>
      <c r="H544">
        <v>256</v>
      </c>
      <c r="I544">
        <v>1005</v>
      </c>
      <c r="J544">
        <v>872</v>
      </c>
      <c r="K544">
        <v>702</v>
      </c>
      <c r="L544">
        <f t="shared" si="74"/>
        <v>596</v>
      </c>
      <c r="M544">
        <v>489</v>
      </c>
      <c r="N544">
        <f t="shared" si="75"/>
        <v>336</v>
      </c>
      <c r="O544">
        <v>183</v>
      </c>
      <c r="P544">
        <v>1000</v>
      </c>
      <c r="Q544">
        <v>898</v>
      </c>
      <c r="R544">
        <v>750</v>
      </c>
      <c r="S544">
        <f t="shared" si="76"/>
        <v>650</v>
      </c>
      <c r="T544">
        <v>549</v>
      </c>
      <c r="U544">
        <f t="shared" si="77"/>
        <v>386</v>
      </c>
      <c r="V544">
        <v>223</v>
      </c>
      <c r="W544">
        <v>753</v>
      </c>
      <c r="X544">
        <v>667</v>
      </c>
      <c r="Y544">
        <v>550</v>
      </c>
      <c r="Z544">
        <f t="shared" si="78"/>
        <v>474</v>
      </c>
      <c r="AA544">
        <v>397</v>
      </c>
      <c r="AB544">
        <f t="shared" si="79"/>
        <v>278</v>
      </c>
      <c r="AC544">
        <v>159</v>
      </c>
    </row>
    <row r="545" spans="1:29" x14ac:dyDescent="0.25">
      <c r="A545" t="s">
        <v>552</v>
      </c>
      <c r="B545">
        <v>1197</v>
      </c>
      <c r="C545">
        <v>1057</v>
      </c>
      <c r="D545">
        <v>868</v>
      </c>
      <c r="E545">
        <f t="shared" si="72"/>
        <v>743</v>
      </c>
      <c r="F545">
        <v>617</v>
      </c>
      <c r="G545">
        <f t="shared" si="73"/>
        <v>426</v>
      </c>
      <c r="H545">
        <v>234</v>
      </c>
      <c r="I545">
        <v>955</v>
      </c>
      <c r="J545">
        <v>830</v>
      </c>
      <c r="K545">
        <v>671</v>
      </c>
      <c r="L545">
        <f t="shared" si="74"/>
        <v>570</v>
      </c>
      <c r="M545">
        <v>468</v>
      </c>
      <c r="N545">
        <f t="shared" si="75"/>
        <v>321</v>
      </c>
      <c r="O545">
        <v>174</v>
      </c>
      <c r="P545">
        <v>897</v>
      </c>
      <c r="Q545">
        <v>809</v>
      </c>
      <c r="R545">
        <v>679</v>
      </c>
      <c r="S545">
        <f t="shared" si="76"/>
        <v>590</v>
      </c>
      <c r="T545">
        <v>501</v>
      </c>
      <c r="U545">
        <f t="shared" si="77"/>
        <v>353</v>
      </c>
      <c r="V545">
        <v>204</v>
      </c>
      <c r="W545">
        <v>716</v>
      </c>
      <c r="X545">
        <v>636</v>
      </c>
      <c r="Y545">
        <v>525</v>
      </c>
      <c r="Z545">
        <f t="shared" si="78"/>
        <v>453</v>
      </c>
      <c r="AA545">
        <v>380</v>
      </c>
      <c r="AB545">
        <f t="shared" si="79"/>
        <v>266</v>
      </c>
      <c r="AC545">
        <v>152</v>
      </c>
    </row>
    <row r="546" spans="1:29" x14ac:dyDescent="0.25">
      <c r="A546" t="s">
        <v>553</v>
      </c>
      <c r="B546">
        <v>1062</v>
      </c>
      <c r="C546">
        <v>936</v>
      </c>
      <c r="D546">
        <v>774</v>
      </c>
      <c r="E546">
        <f t="shared" si="72"/>
        <v>664</v>
      </c>
      <c r="F546">
        <v>553</v>
      </c>
      <c r="G546">
        <f t="shared" si="73"/>
        <v>382</v>
      </c>
      <c r="H546">
        <v>211</v>
      </c>
      <c r="I546">
        <v>913</v>
      </c>
      <c r="J546">
        <v>789</v>
      </c>
      <c r="K546">
        <v>638</v>
      </c>
      <c r="L546">
        <f t="shared" si="74"/>
        <v>542</v>
      </c>
      <c r="M546">
        <v>445</v>
      </c>
      <c r="N546">
        <f t="shared" si="75"/>
        <v>306</v>
      </c>
      <c r="O546">
        <v>166</v>
      </c>
      <c r="P546">
        <v>796</v>
      </c>
      <c r="Q546">
        <v>716</v>
      </c>
      <c r="R546">
        <v>606</v>
      </c>
      <c r="S546">
        <f t="shared" si="76"/>
        <v>528</v>
      </c>
      <c r="T546">
        <v>449</v>
      </c>
      <c r="U546">
        <f t="shared" si="77"/>
        <v>316</v>
      </c>
      <c r="V546">
        <v>183</v>
      </c>
      <c r="W546">
        <v>684</v>
      </c>
      <c r="X546">
        <v>603</v>
      </c>
      <c r="Y546">
        <v>499</v>
      </c>
      <c r="Z546">
        <f t="shared" si="78"/>
        <v>430</v>
      </c>
      <c r="AA546">
        <v>361</v>
      </c>
      <c r="AB546">
        <f t="shared" si="79"/>
        <v>253</v>
      </c>
      <c r="AC546">
        <v>144</v>
      </c>
    </row>
    <row r="547" spans="1:29" x14ac:dyDescent="0.25">
      <c r="A547" t="s">
        <v>554</v>
      </c>
      <c r="B547">
        <v>903</v>
      </c>
      <c r="C547">
        <v>802</v>
      </c>
      <c r="D547">
        <v>667</v>
      </c>
      <c r="E547">
        <f t="shared" si="72"/>
        <v>573</v>
      </c>
      <c r="F547">
        <v>479</v>
      </c>
      <c r="G547">
        <f t="shared" si="73"/>
        <v>331</v>
      </c>
      <c r="H547">
        <v>182</v>
      </c>
      <c r="I547">
        <v>860</v>
      </c>
      <c r="J547">
        <v>745</v>
      </c>
      <c r="K547">
        <v>605</v>
      </c>
      <c r="L547">
        <f t="shared" si="74"/>
        <v>513</v>
      </c>
      <c r="M547">
        <v>421</v>
      </c>
      <c r="N547">
        <f t="shared" si="75"/>
        <v>289</v>
      </c>
      <c r="O547">
        <v>157</v>
      </c>
      <c r="P547">
        <v>677</v>
      </c>
      <c r="Q547">
        <v>614</v>
      </c>
      <c r="R547">
        <v>522</v>
      </c>
      <c r="S547">
        <f t="shared" si="76"/>
        <v>456</v>
      </c>
      <c r="T547">
        <v>389</v>
      </c>
      <c r="U547">
        <f t="shared" si="77"/>
        <v>274</v>
      </c>
      <c r="V547">
        <v>159</v>
      </c>
      <c r="W547">
        <v>644</v>
      </c>
      <c r="X547">
        <v>570</v>
      </c>
      <c r="Y547">
        <v>473</v>
      </c>
      <c r="Z547">
        <f t="shared" si="78"/>
        <v>408</v>
      </c>
      <c r="AA547">
        <v>342</v>
      </c>
      <c r="AB547">
        <f t="shared" si="79"/>
        <v>240</v>
      </c>
      <c r="AC547">
        <v>137</v>
      </c>
    </row>
    <row r="548" spans="1:29" x14ac:dyDescent="0.25">
      <c r="A548" t="s">
        <v>555</v>
      </c>
      <c r="B548">
        <v>828</v>
      </c>
      <c r="C548">
        <v>734</v>
      </c>
      <c r="D548">
        <v>590</v>
      </c>
      <c r="E548">
        <f t="shared" si="72"/>
        <v>502</v>
      </c>
      <c r="F548">
        <v>414</v>
      </c>
      <c r="G548">
        <f t="shared" si="73"/>
        <v>284</v>
      </c>
      <c r="H548">
        <v>153</v>
      </c>
      <c r="I548">
        <v>828</v>
      </c>
      <c r="J548">
        <v>734</v>
      </c>
      <c r="K548">
        <v>590</v>
      </c>
      <c r="L548">
        <f t="shared" si="74"/>
        <v>502</v>
      </c>
      <c r="M548">
        <v>414</v>
      </c>
      <c r="N548">
        <f t="shared" si="75"/>
        <v>284</v>
      </c>
      <c r="O548">
        <v>153</v>
      </c>
      <c r="P548">
        <v>621</v>
      </c>
      <c r="Q548">
        <v>561</v>
      </c>
      <c r="R548">
        <v>462</v>
      </c>
      <c r="S548">
        <f t="shared" si="76"/>
        <v>399</v>
      </c>
      <c r="T548">
        <v>336</v>
      </c>
      <c r="U548">
        <f t="shared" si="77"/>
        <v>235</v>
      </c>
      <c r="V548">
        <v>133</v>
      </c>
      <c r="W548">
        <v>621</v>
      </c>
      <c r="X548">
        <v>561</v>
      </c>
      <c r="Y548">
        <v>462</v>
      </c>
      <c r="Z548">
        <f t="shared" si="78"/>
        <v>399</v>
      </c>
      <c r="AA548">
        <v>336</v>
      </c>
      <c r="AB548">
        <f t="shared" si="79"/>
        <v>235</v>
      </c>
      <c r="AC548">
        <v>133</v>
      </c>
    </row>
    <row r="549" spans="1:29" x14ac:dyDescent="0.25">
      <c r="A549" t="s">
        <v>556</v>
      </c>
      <c r="B549">
        <v>776</v>
      </c>
      <c r="C549">
        <v>690</v>
      </c>
      <c r="D549">
        <v>559</v>
      </c>
      <c r="E549">
        <f t="shared" si="72"/>
        <v>476</v>
      </c>
      <c r="F549">
        <v>392</v>
      </c>
      <c r="G549">
        <f t="shared" si="73"/>
        <v>269</v>
      </c>
      <c r="H549">
        <v>146</v>
      </c>
      <c r="I549">
        <v>776</v>
      </c>
      <c r="J549">
        <v>690</v>
      </c>
      <c r="K549">
        <v>559</v>
      </c>
      <c r="L549">
        <f t="shared" si="74"/>
        <v>476</v>
      </c>
      <c r="M549">
        <v>392</v>
      </c>
      <c r="N549">
        <f t="shared" si="75"/>
        <v>269</v>
      </c>
      <c r="O549">
        <v>146</v>
      </c>
      <c r="P549">
        <v>581</v>
      </c>
      <c r="Q549">
        <v>528</v>
      </c>
      <c r="R549">
        <v>437</v>
      </c>
      <c r="S549">
        <f t="shared" si="76"/>
        <v>378</v>
      </c>
      <c r="T549">
        <v>319</v>
      </c>
      <c r="U549">
        <f t="shared" si="77"/>
        <v>224</v>
      </c>
      <c r="V549">
        <v>128</v>
      </c>
      <c r="W549">
        <v>581</v>
      </c>
      <c r="X549">
        <v>528</v>
      </c>
      <c r="Y549">
        <v>437</v>
      </c>
      <c r="Z549">
        <f t="shared" si="78"/>
        <v>378</v>
      </c>
      <c r="AA549">
        <v>319</v>
      </c>
      <c r="AB549">
        <f t="shared" si="79"/>
        <v>224</v>
      </c>
      <c r="AC549">
        <v>128</v>
      </c>
    </row>
    <row r="550" spans="1:29" x14ac:dyDescent="0.25">
      <c r="A550" t="s">
        <v>557</v>
      </c>
      <c r="B550">
        <v>720</v>
      </c>
      <c r="C550">
        <v>642</v>
      </c>
      <c r="D550">
        <v>528</v>
      </c>
      <c r="E550">
        <f t="shared" si="72"/>
        <v>451</v>
      </c>
      <c r="F550">
        <v>374</v>
      </c>
      <c r="G550">
        <f t="shared" si="73"/>
        <v>255</v>
      </c>
      <c r="H550">
        <v>136</v>
      </c>
      <c r="I550">
        <v>720</v>
      </c>
      <c r="J550">
        <v>642</v>
      </c>
      <c r="K550">
        <v>528</v>
      </c>
      <c r="L550">
        <f t="shared" si="74"/>
        <v>451</v>
      </c>
      <c r="M550">
        <v>374</v>
      </c>
      <c r="N550">
        <f t="shared" si="75"/>
        <v>255</v>
      </c>
      <c r="O550">
        <v>136</v>
      </c>
      <c r="P550">
        <v>540</v>
      </c>
      <c r="Q550">
        <v>492</v>
      </c>
      <c r="R550">
        <v>413</v>
      </c>
      <c r="S550">
        <f t="shared" si="76"/>
        <v>359</v>
      </c>
      <c r="T550">
        <v>304</v>
      </c>
      <c r="U550">
        <f t="shared" si="77"/>
        <v>211</v>
      </c>
      <c r="V550">
        <v>118</v>
      </c>
      <c r="W550">
        <v>540</v>
      </c>
      <c r="X550">
        <v>492</v>
      </c>
      <c r="Y550">
        <v>413</v>
      </c>
      <c r="Z550">
        <f t="shared" si="78"/>
        <v>359</v>
      </c>
      <c r="AA550">
        <v>304</v>
      </c>
      <c r="AB550">
        <f t="shared" si="79"/>
        <v>211</v>
      </c>
      <c r="AC550">
        <v>118</v>
      </c>
    </row>
    <row r="551" spans="1:29" x14ac:dyDescent="0.25">
      <c r="A551" t="s">
        <v>558</v>
      </c>
      <c r="B551">
        <v>1188</v>
      </c>
      <c r="C551">
        <v>1048</v>
      </c>
      <c r="D551">
        <v>859</v>
      </c>
      <c r="E551">
        <f t="shared" si="72"/>
        <v>734</v>
      </c>
      <c r="F551">
        <v>608</v>
      </c>
      <c r="G551">
        <f t="shared" si="73"/>
        <v>419</v>
      </c>
      <c r="H551">
        <v>230</v>
      </c>
      <c r="I551">
        <v>953</v>
      </c>
      <c r="J551">
        <v>827</v>
      </c>
      <c r="K551">
        <v>667</v>
      </c>
      <c r="L551">
        <f t="shared" si="74"/>
        <v>566</v>
      </c>
      <c r="M551">
        <v>464</v>
      </c>
      <c r="N551">
        <f t="shared" si="75"/>
        <v>319</v>
      </c>
      <c r="O551">
        <v>173</v>
      </c>
      <c r="P551">
        <v>891</v>
      </c>
      <c r="Q551">
        <v>802</v>
      </c>
      <c r="R551">
        <v>673</v>
      </c>
      <c r="S551">
        <f t="shared" si="76"/>
        <v>584</v>
      </c>
      <c r="T551">
        <v>494</v>
      </c>
      <c r="U551">
        <f t="shared" si="77"/>
        <v>347</v>
      </c>
      <c r="V551">
        <v>200</v>
      </c>
      <c r="W551">
        <v>715</v>
      </c>
      <c r="X551">
        <v>633</v>
      </c>
      <c r="Y551">
        <v>522</v>
      </c>
      <c r="Z551">
        <f t="shared" si="78"/>
        <v>450</v>
      </c>
      <c r="AA551">
        <v>377</v>
      </c>
      <c r="AB551">
        <f t="shared" si="79"/>
        <v>264</v>
      </c>
      <c r="AC551">
        <v>151</v>
      </c>
    </row>
    <row r="552" spans="1:29" x14ac:dyDescent="0.25">
      <c r="A552" t="s">
        <v>559</v>
      </c>
      <c r="B552">
        <v>1053</v>
      </c>
      <c r="C552">
        <v>926</v>
      </c>
      <c r="D552">
        <v>764</v>
      </c>
      <c r="E552">
        <f t="shared" si="72"/>
        <v>654</v>
      </c>
      <c r="F552">
        <v>544</v>
      </c>
      <c r="G552">
        <f t="shared" si="73"/>
        <v>375</v>
      </c>
      <c r="H552">
        <v>206</v>
      </c>
      <c r="I552">
        <v>910</v>
      </c>
      <c r="J552">
        <v>786</v>
      </c>
      <c r="K552">
        <v>635</v>
      </c>
      <c r="L552">
        <f t="shared" si="74"/>
        <v>540</v>
      </c>
      <c r="M552">
        <v>444</v>
      </c>
      <c r="N552">
        <f t="shared" si="75"/>
        <v>304</v>
      </c>
      <c r="O552">
        <v>164</v>
      </c>
      <c r="P552">
        <v>789</v>
      </c>
      <c r="Q552">
        <v>709</v>
      </c>
      <c r="R552">
        <v>598</v>
      </c>
      <c r="S552">
        <f t="shared" si="76"/>
        <v>520</v>
      </c>
      <c r="T552">
        <v>442</v>
      </c>
      <c r="U552">
        <f t="shared" si="77"/>
        <v>311</v>
      </c>
      <c r="V552">
        <v>180</v>
      </c>
      <c r="W552">
        <v>682</v>
      </c>
      <c r="X552">
        <v>602</v>
      </c>
      <c r="Y552">
        <v>497</v>
      </c>
      <c r="Z552">
        <f t="shared" si="78"/>
        <v>429</v>
      </c>
      <c r="AA552">
        <v>361</v>
      </c>
      <c r="AB552">
        <f t="shared" si="79"/>
        <v>252</v>
      </c>
      <c r="AC552">
        <v>143</v>
      </c>
    </row>
    <row r="553" spans="1:29" x14ac:dyDescent="0.25">
      <c r="A553" t="s">
        <v>560</v>
      </c>
      <c r="B553">
        <v>898</v>
      </c>
      <c r="C553">
        <v>797</v>
      </c>
      <c r="D553">
        <v>662</v>
      </c>
      <c r="E553">
        <f t="shared" si="72"/>
        <v>568</v>
      </c>
      <c r="F553">
        <v>474</v>
      </c>
      <c r="G553">
        <f t="shared" si="73"/>
        <v>327</v>
      </c>
      <c r="H553">
        <v>180</v>
      </c>
      <c r="I553">
        <v>858</v>
      </c>
      <c r="J553">
        <v>743</v>
      </c>
      <c r="K553">
        <v>602</v>
      </c>
      <c r="L553">
        <f t="shared" si="74"/>
        <v>512</v>
      </c>
      <c r="M553">
        <v>421</v>
      </c>
      <c r="N553">
        <f t="shared" si="75"/>
        <v>288</v>
      </c>
      <c r="O553">
        <v>155</v>
      </c>
      <c r="P553">
        <v>673</v>
      </c>
      <c r="Q553">
        <v>610</v>
      </c>
      <c r="R553">
        <v>518</v>
      </c>
      <c r="S553">
        <f t="shared" si="76"/>
        <v>452</v>
      </c>
      <c r="T553">
        <v>385</v>
      </c>
      <c r="U553">
        <f t="shared" si="77"/>
        <v>271</v>
      </c>
      <c r="V553">
        <v>157</v>
      </c>
      <c r="W553">
        <v>643</v>
      </c>
      <c r="X553">
        <v>569</v>
      </c>
      <c r="Y553">
        <v>471</v>
      </c>
      <c r="Z553">
        <f t="shared" si="78"/>
        <v>407</v>
      </c>
      <c r="AA553">
        <v>342</v>
      </c>
      <c r="AB553">
        <f t="shared" si="79"/>
        <v>239</v>
      </c>
      <c r="AC553">
        <v>135</v>
      </c>
    </row>
    <row r="554" spans="1:29" x14ac:dyDescent="0.25">
      <c r="A554" t="s">
        <v>561</v>
      </c>
      <c r="B554">
        <v>821</v>
      </c>
      <c r="C554">
        <v>727</v>
      </c>
      <c r="D554">
        <v>584</v>
      </c>
      <c r="E554">
        <f t="shared" si="72"/>
        <v>497</v>
      </c>
      <c r="F554">
        <v>409</v>
      </c>
      <c r="G554">
        <f t="shared" si="73"/>
        <v>280</v>
      </c>
      <c r="H554">
        <v>151</v>
      </c>
      <c r="I554">
        <v>821</v>
      </c>
      <c r="J554">
        <v>727</v>
      </c>
      <c r="K554">
        <v>584</v>
      </c>
      <c r="L554">
        <f t="shared" si="74"/>
        <v>497</v>
      </c>
      <c r="M554">
        <v>409</v>
      </c>
      <c r="N554">
        <f t="shared" si="75"/>
        <v>280</v>
      </c>
      <c r="O554">
        <v>151</v>
      </c>
      <c r="P554">
        <v>615</v>
      </c>
      <c r="Q554">
        <v>556</v>
      </c>
      <c r="R554">
        <v>457</v>
      </c>
      <c r="S554">
        <f t="shared" si="76"/>
        <v>395</v>
      </c>
      <c r="T554">
        <v>332</v>
      </c>
      <c r="U554">
        <f t="shared" si="77"/>
        <v>232</v>
      </c>
      <c r="V554">
        <v>132</v>
      </c>
      <c r="W554">
        <v>615</v>
      </c>
      <c r="X554">
        <v>556</v>
      </c>
      <c r="Y554">
        <v>457</v>
      </c>
      <c r="Z554">
        <f t="shared" si="78"/>
        <v>395</v>
      </c>
      <c r="AA554">
        <v>332</v>
      </c>
      <c r="AB554">
        <f t="shared" si="79"/>
        <v>232</v>
      </c>
      <c r="AC554">
        <v>132</v>
      </c>
    </row>
    <row r="555" spans="1:29" x14ac:dyDescent="0.25">
      <c r="A555" t="s">
        <v>562</v>
      </c>
      <c r="B555">
        <v>768</v>
      </c>
      <c r="C555">
        <v>682</v>
      </c>
      <c r="D555">
        <v>552</v>
      </c>
      <c r="E555">
        <f t="shared" si="72"/>
        <v>471</v>
      </c>
      <c r="F555">
        <v>389</v>
      </c>
      <c r="G555">
        <f t="shared" si="73"/>
        <v>266</v>
      </c>
      <c r="H555">
        <v>143</v>
      </c>
      <c r="I555">
        <v>768</v>
      </c>
      <c r="J555">
        <v>682</v>
      </c>
      <c r="K555">
        <v>552</v>
      </c>
      <c r="L555">
        <f t="shared" si="74"/>
        <v>471</v>
      </c>
      <c r="M555">
        <v>389</v>
      </c>
      <c r="N555">
        <f t="shared" si="75"/>
        <v>266</v>
      </c>
      <c r="O555">
        <v>143</v>
      </c>
      <c r="P555">
        <v>576</v>
      </c>
      <c r="Q555">
        <v>522</v>
      </c>
      <c r="R555">
        <v>432</v>
      </c>
      <c r="S555">
        <f t="shared" si="76"/>
        <v>374</v>
      </c>
      <c r="T555">
        <v>316</v>
      </c>
      <c r="U555">
        <f t="shared" si="77"/>
        <v>221</v>
      </c>
      <c r="V555">
        <v>125</v>
      </c>
      <c r="W555">
        <v>576</v>
      </c>
      <c r="X555">
        <v>522</v>
      </c>
      <c r="Y555">
        <v>432</v>
      </c>
      <c r="Z555">
        <f t="shared" si="78"/>
        <v>374</v>
      </c>
      <c r="AA555">
        <v>316</v>
      </c>
      <c r="AB555">
        <f t="shared" si="79"/>
        <v>221</v>
      </c>
      <c r="AC555">
        <v>125</v>
      </c>
    </row>
    <row r="556" spans="1:29" x14ac:dyDescent="0.25">
      <c r="A556" t="s">
        <v>563</v>
      </c>
      <c r="B556">
        <v>715</v>
      </c>
      <c r="C556">
        <v>638</v>
      </c>
      <c r="D556">
        <v>525</v>
      </c>
      <c r="E556">
        <f t="shared" si="72"/>
        <v>446</v>
      </c>
      <c r="F556">
        <v>366</v>
      </c>
      <c r="G556">
        <f t="shared" si="73"/>
        <v>251</v>
      </c>
      <c r="H556">
        <v>136</v>
      </c>
      <c r="I556">
        <v>715</v>
      </c>
      <c r="J556">
        <v>638</v>
      </c>
      <c r="K556">
        <v>525</v>
      </c>
      <c r="L556">
        <f t="shared" si="74"/>
        <v>446</v>
      </c>
      <c r="M556">
        <v>366</v>
      </c>
      <c r="N556">
        <f t="shared" si="75"/>
        <v>251</v>
      </c>
      <c r="O556">
        <v>136</v>
      </c>
      <c r="P556">
        <v>536</v>
      </c>
      <c r="Q556">
        <v>488</v>
      </c>
      <c r="R556">
        <v>411</v>
      </c>
      <c r="S556">
        <f t="shared" si="76"/>
        <v>354</v>
      </c>
      <c r="T556">
        <v>297</v>
      </c>
      <c r="U556">
        <f t="shared" si="77"/>
        <v>208</v>
      </c>
      <c r="V556">
        <v>118</v>
      </c>
      <c r="W556">
        <v>536</v>
      </c>
      <c r="X556">
        <v>488</v>
      </c>
      <c r="Y556">
        <v>411</v>
      </c>
      <c r="Z556">
        <f t="shared" si="78"/>
        <v>354</v>
      </c>
      <c r="AA556">
        <v>297</v>
      </c>
      <c r="AB556">
        <f t="shared" si="79"/>
        <v>208</v>
      </c>
      <c r="AC556">
        <v>118</v>
      </c>
    </row>
    <row r="557" spans="1:29" x14ac:dyDescent="0.25">
      <c r="A557" t="s">
        <v>564</v>
      </c>
      <c r="B557">
        <v>656</v>
      </c>
      <c r="C557">
        <v>588</v>
      </c>
      <c r="D557">
        <v>485</v>
      </c>
      <c r="E557">
        <f t="shared" si="72"/>
        <v>414</v>
      </c>
      <c r="F557">
        <v>343</v>
      </c>
      <c r="G557">
        <f t="shared" si="73"/>
        <v>234</v>
      </c>
      <c r="H557">
        <v>124</v>
      </c>
      <c r="I557">
        <v>656</v>
      </c>
      <c r="J557">
        <v>588</v>
      </c>
      <c r="K557">
        <v>485</v>
      </c>
      <c r="L557">
        <f t="shared" si="74"/>
        <v>414</v>
      </c>
      <c r="M557">
        <v>343</v>
      </c>
      <c r="N557">
        <f t="shared" si="75"/>
        <v>234</v>
      </c>
      <c r="O557">
        <v>124</v>
      </c>
      <c r="P557">
        <v>492</v>
      </c>
      <c r="Q557">
        <v>450</v>
      </c>
      <c r="R557">
        <v>379</v>
      </c>
      <c r="S557">
        <f t="shared" si="76"/>
        <v>329</v>
      </c>
      <c r="T557">
        <v>279</v>
      </c>
      <c r="U557">
        <f t="shared" si="77"/>
        <v>194</v>
      </c>
      <c r="V557">
        <v>108</v>
      </c>
      <c r="W557">
        <v>492</v>
      </c>
      <c r="X557">
        <v>450</v>
      </c>
      <c r="Y557">
        <v>379</v>
      </c>
      <c r="Z557">
        <f t="shared" si="78"/>
        <v>329</v>
      </c>
      <c r="AA557">
        <v>279</v>
      </c>
      <c r="AB557">
        <f t="shared" si="79"/>
        <v>194</v>
      </c>
      <c r="AC557">
        <v>108</v>
      </c>
    </row>
    <row r="558" spans="1:29" x14ac:dyDescent="0.25">
      <c r="A558" t="s">
        <v>565</v>
      </c>
      <c r="B558">
        <v>1043</v>
      </c>
      <c r="C558">
        <v>916</v>
      </c>
      <c r="D558">
        <v>753</v>
      </c>
      <c r="E558">
        <f t="shared" si="72"/>
        <v>644</v>
      </c>
      <c r="F558">
        <v>535</v>
      </c>
      <c r="G558">
        <f t="shared" si="73"/>
        <v>369</v>
      </c>
      <c r="H558">
        <v>202</v>
      </c>
      <c r="I558">
        <v>906</v>
      </c>
      <c r="J558">
        <v>783</v>
      </c>
      <c r="K558">
        <v>631</v>
      </c>
      <c r="L558">
        <f t="shared" si="74"/>
        <v>536</v>
      </c>
      <c r="M558">
        <v>440</v>
      </c>
      <c r="N558">
        <f t="shared" si="75"/>
        <v>301</v>
      </c>
      <c r="O558">
        <v>162</v>
      </c>
      <c r="P558">
        <v>782</v>
      </c>
      <c r="Q558">
        <v>701</v>
      </c>
      <c r="R558">
        <v>590</v>
      </c>
      <c r="S558">
        <f t="shared" si="76"/>
        <v>513</v>
      </c>
      <c r="T558">
        <v>435</v>
      </c>
      <c r="U558">
        <f t="shared" si="77"/>
        <v>306</v>
      </c>
      <c r="V558">
        <v>176</v>
      </c>
      <c r="W558">
        <v>679</v>
      </c>
      <c r="X558">
        <v>599</v>
      </c>
      <c r="Y558">
        <v>495</v>
      </c>
      <c r="Z558">
        <f t="shared" si="78"/>
        <v>427</v>
      </c>
      <c r="AA558">
        <v>358</v>
      </c>
      <c r="AB558">
        <f t="shared" si="79"/>
        <v>250</v>
      </c>
      <c r="AC558">
        <v>141</v>
      </c>
    </row>
    <row r="559" spans="1:29" x14ac:dyDescent="0.25">
      <c r="A559" t="s">
        <v>566</v>
      </c>
      <c r="B559">
        <v>889</v>
      </c>
      <c r="C559">
        <v>787</v>
      </c>
      <c r="D559">
        <v>653</v>
      </c>
      <c r="E559">
        <f t="shared" si="72"/>
        <v>561</v>
      </c>
      <c r="F559">
        <v>468</v>
      </c>
      <c r="G559">
        <f t="shared" si="73"/>
        <v>323</v>
      </c>
      <c r="H559">
        <v>177</v>
      </c>
      <c r="I559">
        <v>854</v>
      </c>
      <c r="J559">
        <v>740</v>
      </c>
      <c r="K559">
        <v>599</v>
      </c>
      <c r="L559">
        <f t="shared" si="74"/>
        <v>509</v>
      </c>
      <c r="M559">
        <v>419</v>
      </c>
      <c r="N559">
        <f t="shared" si="75"/>
        <v>287</v>
      </c>
      <c r="O559">
        <v>154</v>
      </c>
      <c r="P559">
        <v>666</v>
      </c>
      <c r="Q559">
        <v>602</v>
      </c>
      <c r="R559">
        <v>511</v>
      </c>
      <c r="S559">
        <f t="shared" si="76"/>
        <v>446</v>
      </c>
      <c r="T559">
        <v>380</v>
      </c>
      <c r="U559">
        <f t="shared" si="77"/>
        <v>267</v>
      </c>
      <c r="V559">
        <v>154</v>
      </c>
      <c r="W559">
        <v>640</v>
      </c>
      <c r="X559">
        <v>566</v>
      </c>
      <c r="Y559">
        <v>469</v>
      </c>
      <c r="Z559">
        <f t="shared" si="78"/>
        <v>405</v>
      </c>
      <c r="AA559">
        <v>340</v>
      </c>
      <c r="AB559">
        <f t="shared" si="79"/>
        <v>237</v>
      </c>
      <c r="AC559">
        <v>134</v>
      </c>
    </row>
    <row r="560" spans="1:29" x14ac:dyDescent="0.25">
      <c r="A560" t="s">
        <v>567</v>
      </c>
      <c r="B560">
        <v>813</v>
      </c>
      <c r="C560">
        <v>719</v>
      </c>
      <c r="D560">
        <v>578</v>
      </c>
      <c r="E560">
        <f t="shared" si="72"/>
        <v>491</v>
      </c>
      <c r="F560">
        <v>404</v>
      </c>
      <c r="G560">
        <f t="shared" si="73"/>
        <v>277</v>
      </c>
      <c r="H560">
        <v>149</v>
      </c>
      <c r="I560">
        <v>813</v>
      </c>
      <c r="J560">
        <v>719</v>
      </c>
      <c r="K560">
        <v>578</v>
      </c>
      <c r="L560">
        <f t="shared" si="74"/>
        <v>491</v>
      </c>
      <c r="M560">
        <v>404</v>
      </c>
      <c r="N560">
        <f t="shared" si="75"/>
        <v>277</v>
      </c>
      <c r="O560">
        <v>149</v>
      </c>
      <c r="P560">
        <v>610</v>
      </c>
      <c r="Q560">
        <v>550</v>
      </c>
      <c r="R560">
        <v>453</v>
      </c>
      <c r="S560">
        <f t="shared" si="76"/>
        <v>391</v>
      </c>
      <c r="T560">
        <v>328</v>
      </c>
      <c r="U560">
        <f t="shared" si="77"/>
        <v>229</v>
      </c>
      <c r="V560">
        <v>130</v>
      </c>
      <c r="W560">
        <v>610</v>
      </c>
      <c r="X560">
        <v>550</v>
      </c>
      <c r="Y560">
        <v>453</v>
      </c>
      <c r="Z560">
        <f t="shared" si="78"/>
        <v>391</v>
      </c>
      <c r="AA560">
        <v>328</v>
      </c>
      <c r="AB560">
        <f t="shared" si="79"/>
        <v>229</v>
      </c>
      <c r="AC560">
        <v>130</v>
      </c>
    </row>
    <row r="561" spans="1:29" x14ac:dyDescent="0.25">
      <c r="A561" t="s">
        <v>568</v>
      </c>
      <c r="B561">
        <v>760</v>
      </c>
      <c r="C561">
        <v>676</v>
      </c>
      <c r="D561">
        <v>547</v>
      </c>
      <c r="E561">
        <f t="shared" si="72"/>
        <v>466</v>
      </c>
      <c r="F561">
        <v>384</v>
      </c>
      <c r="G561">
        <f t="shared" si="73"/>
        <v>263</v>
      </c>
      <c r="H561">
        <v>141</v>
      </c>
      <c r="I561">
        <v>760</v>
      </c>
      <c r="J561">
        <v>676</v>
      </c>
      <c r="K561">
        <v>547</v>
      </c>
      <c r="L561">
        <f t="shared" si="74"/>
        <v>466</v>
      </c>
      <c r="M561">
        <v>384</v>
      </c>
      <c r="N561">
        <f t="shared" si="75"/>
        <v>263</v>
      </c>
      <c r="O561">
        <v>141</v>
      </c>
      <c r="P561">
        <v>570</v>
      </c>
      <c r="Q561">
        <v>517</v>
      </c>
      <c r="R561">
        <v>428</v>
      </c>
      <c r="S561">
        <f t="shared" si="76"/>
        <v>370</v>
      </c>
      <c r="T561">
        <v>312</v>
      </c>
      <c r="U561">
        <f t="shared" si="77"/>
        <v>217</v>
      </c>
      <c r="V561">
        <v>122</v>
      </c>
      <c r="W561">
        <v>570</v>
      </c>
      <c r="X561">
        <v>517</v>
      </c>
      <c r="Y561">
        <v>428</v>
      </c>
      <c r="Z561">
        <f t="shared" si="78"/>
        <v>370</v>
      </c>
      <c r="AA561">
        <v>312</v>
      </c>
      <c r="AB561">
        <f t="shared" si="79"/>
        <v>217</v>
      </c>
      <c r="AC561">
        <v>122</v>
      </c>
    </row>
    <row r="562" spans="1:29" x14ac:dyDescent="0.25">
      <c r="A562" t="s">
        <v>569</v>
      </c>
      <c r="B562">
        <v>707</v>
      </c>
      <c r="C562">
        <v>630</v>
      </c>
      <c r="D562">
        <v>518</v>
      </c>
      <c r="E562">
        <f t="shared" si="72"/>
        <v>440</v>
      </c>
      <c r="F562">
        <v>362</v>
      </c>
      <c r="G562">
        <f t="shared" si="73"/>
        <v>249</v>
      </c>
      <c r="H562">
        <v>135</v>
      </c>
      <c r="I562">
        <v>707</v>
      </c>
      <c r="J562">
        <v>630</v>
      </c>
      <c r="K562">
        <v>518</v>
      </c>
      <c r="L562">
        <f t="shared" si="74"/>
        <v>440</v>
      </c>
      <c r="M562">
        <v>362</v>
      </c>
      <c r="N562">
        <f t="shared" si="75"/>
        <v>249</v>
      </c>
      <c r="O562">
        <v>135</v>
      </c>
      <c r="P562">
        <v>530</v>
      </c>
      <c r="Q562">
        <v>482</v>
      </c>
      <c r="R562">
        <v>406</v>
      </c>
      <c r="S562">
        <f t="shared" si="76"/>
        <v>350</v>
      </c>
      <c r="T562">
        <v>294</v>
      </c>
      <c r="U562">
        <f t="shared" si="77"/>
        <v>206</v>
      </c>
      <c r="V562">
        <v>117</v>
      </c>
      <c r="W562">
        <v>530</v>
      </c>
      <c r="X562">
        <v>482</v>
      </c>
      <c r="Y562">
        <v>406</v>
      </c>
      <c r="Z562">
        <f t="shared" si="78"/>
        <v>350</v>
      </c>
      <c r="AA562">
        <v>294</v>
      </c>
      <c r="AB562">
        <f t="shared" si="79"/>
        <v>206</v>
      </c>
      <c r="AC562">
        <v>117</v>
      </c>
    </row>
    <row r="563" spans="1:29" x14ac:dyDescent="0.25">
      <c r="A563" t="s">
        <v>570</v>
      </c>
      <c r="B563">
        <v>651</v>
      </c>
      <c r="C563">
        <v>583</v>
      </c>
      <c r="D563">
        <v>482</v>
      </c>
      <c r="E563">
        <f t="shared" si="72"/>
        <v>412</v>
      </c>
      <c r="F563">
        <v>342</v>
      </c>
      <c r="G563">
        <f t="shared" si="73"/>
        <v>233</v>
      </c>
      <c r="H563">
        <v>124</v>
      </c>
      <c r="I563">
        <v>651</v>
      </c>
      <c r="J563">
        <v>583</v>
      </c>
      <c r="K563">
        <v>482</v>
      </c>
      <c r="L563">
        <f t="shared" si="74"/>
        <v>412</v>
      </c>
      <c r="M563">
        <v>342</v>
      </c>
      <c r="N563">
        <f t="shared" si="75"/>
        <v>233</v>
      </c>
      <c r="O563">
        <v>124</v>
      </c>
      <c r="P563">
        <v>488</v>
      </c>
      <c r="Q563">
        <v>446</v>
      </c>
      <c r="R563">
        <v>377</v>
      </c>
      <c r="S563">
        <f t="shared" si="76"/>
        <v>328</v>
      </c>
      <c r="T563">
        <v>278</v>
      </c>
      <c r="U563">
        <f t="shared" si="77"/>
        <v>193</v>
      </c>
      <c r="V563">
        <v>108</v>
      </c>
      <c r="W563">
        <v>488</v>
      </c>
      <c r="X563">
        <v>446</v>
      </c>
      <c r="Y563">
        <v>377</v>
      </c>
      <c r="Z563">
        <f t="shared" si="78"/>
        <v>328</v>
      </c>
      <c r="AA563">
        <v>278</v>
      </c>
      <c r="AB563">
        <f t="shared" si="79"/>
        <v>193</v>
      </c>
      <c r="AC563">
        <v>108</v>
      </c>
    </row>
    <row r="564" spans="1:29" x14ac:dyDescent="0.25">
      <c r="A564" t="s">
        <v>571</v>
      </c>
      <c r="B564">
        <v>590</v>
      </c>
      <c r="C564">
        <v>531</v>
      </c>
      <c r="D564">
        <v>441</v>
      </c>
      <c r="E564">
        <f t="shared" si="72"/>
        <v>377</v>
      </c>
      <c r="F564">
        <v>313</v>
      </c>
      <c r="G564">
        <f t="shared" si="73"/>
        <v>213</v>
      </c>
      <c r="H564">
        <v>112</v>
      </c>
      <c r="I564">
        <v>590</v>
      </c>
      <c r="J564">
        <v>531</v>
      </c>
      <c r="K564">
        <v>441</v>
      </c>
      <c r="L564">
        <f t="shared" si="74"/>
        <v>377</v>
      </c>
      <c r="M564">
        <v>313</v>
      </c>
      <c r="N564">
        <f t="shared" si="75"/>
        <v>213</v>
      </c>
      <c r="O564">
        <v>112</v>
      </c>
      <c r="P564">
        <v>443</v>
      </c>
      <c r="Q564">
        <v>406</v>
      </c>
      <c r="R564">
        <v>345</v>
      </c>
      <c r="S564">
        <f t="shared" si="76"/>
        <v>300</v>
      </c>
      <c r="T564">
        <v>255</v>
      </c>
      <c r="U564">
        <f t="shared" si="77"/>
        <v>177</v>
      </c>
      <c r="V564">
        <v>98</v>
      </c>
      <c r="W564">
        <v>443</v>
      </c>
      <c r="X564">
        <v>406</v>
      </c>
      <c r="Y564">
        <v>345</v>
      </c>
      <c r="Z564">
        <f t="shared" si="78"/>
        <v>300</v>
      </c>
      <c r="AA564">
        <v>255</v>
      </c>
      <c r="AB564">
        <f t="shared" si="79"/>
        <v>177</v>
      </c>
      <c r="AC564">
        <v>98</v>
      </c>
    </row>
    <row r="565" spans="1:29" x14ac:dyDescent="0.25">
      <c r="A565" t="s">
        <v>572</v>
      </c>
      <c r="B565">
        <v>878</v>
      </c>
      <c r="C565">
        <v>776</v>
      </c>
      <c r="D565">
        <v>641</v>
      </c>
      <c r="E565">
        <f t="shared" si="72"/>
        <v>550</v>
      </c>
      <c r="F565">
        <v>458</v>
      </c>
      <c r="G565">
        <f t="shared" si="73"/>
        <v>315</v>
      </c>
      <c r="H565">
        <v>172</v>
      </c>
      <c r="I565">
        <v>850</v>
      </c>
      <c r="J565">
        <v>736</v>
      </c>
      <c r="K565">
        <v>596</v>
      </c>
      <c r="L565">
        <f t="shared" si="74"/>
        <v>507</v>
      </c>
      <c r="M565">
        <v>417</v>
      </c>
      <c r="N565">
        <f t="shared" si="75"/>
        <v>285</v>
      </c>
      <c r="O565">
        <v>152</v>
      </c>
      <c r="P565">
        <v>658</v>
      </c>
      <c r="Q565">
        <v>594</v>
      </c>
      <c r="R565">
        <v>502</v>
      </c>
      <c r="S565">
        <f t="shared" si="76"/>
        <v>437</v>
      </c>
      <c r="T565">
        <v>372</v>
      </c>
      <c r="U565">
        <f t="shared" si="77"/>
        <v>261</v>
      </c>
      <c r="V565">
        <v>150</v>
      </c>
      <c r="W565">
        <v>637</v>
      </c>
      <c r="X565">
        <v>563</v>
      </c>
      <c r="Y565">
        <v>467</v>
      </c>
      <c r="Z565">
        <f t="shared" si="78"/>
        <v>403</v>
      </c>
      <c r="AA565">
        <v>338</v>
      </c>
      <c r="AB565">
        <f t="shared" si="79"/>
        <v>236</v>
      </c>
      <c r="AC565">
        <v>133</v>
      </c>
    </row>
    <row r="566" spans="1:29" x14ac:dyDescent="0.25">
      <c r="A566" t="s">
        <v>573</v>
      </c>
      <c r="B566">
        <v>805</v>
      </c>
      <c r="C566">
        <v>712</v>
      </c>
      <c r="D566">
        <v>572</v>
      </c>
      <c r="E566">
        <f t="shared" si="72"/>
        <v>486</v>
      </c>
      <c r="F566">
        <v>400</v>
      </c>
      <c r="G566">
        <f t="shared" si="73"/>
        <v>273</v>
      </c>
      <c r="H566">
        <v>146</v>
      </c>
      <c r="I566">
        <v>805</v>
      </c>
      <c r="J566">
        <v>712</v>
      </c>
      <c r="K566">
        <v>572</v>
      </c>
      <c r="L566">
        <f t="shared" si="74"/>
        <v>486</v>
      </c>
      <c r="M566">
        <v>400</v>
      </c>
      <c r="N566">
        <f t="shared" si="75"/>
        <v>273</v>
      </c>
      <c r="O566">
        <v>146</v>
      </c>
      <c r="P566">
        <v>603</v>
      </c>
      <c r="Q566">
        <v>545</v>
      </c>
      <c r="R566">
        <v>448</v>
      </c>
      <c r="S566">
        <f t="shared" si="76"/>
        <v>387</v>
      </c>
      <c r="T566">
        <v>325</v>
      </c>
      <c r="U566">
        <f t="shared" si="77"/>
        <v>227</v>
      </c>
      <c r="V566">
        <v>128</v>
      </c>
      <c r="W566">
        <v>603</v>
      </c>
      <c r="X566">
        <v>545</v>
      </c>
      <c r="Y566">
        <v>448</v>
      </c>
      <c r="Z566">
        <f t="shared" si="78"/>
        <v>387</v>
      </c>
      <c r="AA566">
        <v>325</v>
      </c>
      <c r="AB566">
        <f t="shared" si="79"/>
        <v>227</v>
      </c>
      <c r="AC566">
        <v>128</v>
      </c>
    </row>
    <row r="567" spans="1:29" x14ac:dyDescent="0.25">
      <c r="A567" t="s">
        <v>574</v>
      </c>
      <c r="B567">
        <v>753</v>
      </c>
      <c r="C567">
        <v>668</v>
      </c>
      <c r="D567">
        <v>540</v>
      </c>
      <c r="E567">
        <f t="shared" si="72"/>
        <v>460</v>
      </c>
      <c r="F567">
        <v>379</v>
      </c>
      <c r="G567">
        <f t="shared" si="73"/>
        <v>259</v>
      </c>
      <c r="H567">
        <v>139</v>
      </c>
      <c r="I567">
        <v>753</v>
      </c>
      <c r="J567">
        <v>668</v>
      </c>
      <c r="K567">
        <v>540</v>
      </c>
      <c r="L567">
        <f t="shared" si="74"/>
        <v>460</v>
      </c>
      <c r="M567">
        <v>379</v>
      </c>
      <c r="N567">
        <f t="shared" si="75"/>
        <v>259</v>
      </c>
      <c r="O567">
        <v>139</v>
      </c>
      <c r="P567">
        <v>564</v>
      </c>
      <c r="Q567">
        <v>511</v>
      </c>
      <c r="R567">
        <v>423</v>
      </c>
      <c r="S567">
        <f t="shared" si="76"/>
        <v>365</v>
      </c>
      <c r="T567">
        <v>307</v>
      </c>
      <c r="U567">
        <f t="shared" si="77"/>
        <v>214</v>
      </c>
      <c r="V567">
        <v>121</v>
      </c>
      <c r="W567">
        <v>564</v>
      </c>
      <c r="X567">
        <v>511</v>
      </c>
      <c r="Y567">
        <v>423</v>
      </c>
      <c r="Z567">
        <f t="shared" si="78"/>
        <v>365</v>
      </c>
      <c r="AA567">
        <v>307</v>
      </c>
      <c r="AB567">
        <f t="shared" si="79"/>
        <v>214</v>
      </c>
      <c r="AC567">
        <v>121</v>
      </c>
    </row>
    <row r="568" spans="1:29" x14ac:dyDescent="0.25">
      <c r="A568" t="s">
        <v>575</v>
      </c>
      <c r="B568">
        <v>699</v>
      </c>
      <c r="C568">
        <v>623</v>
      </c>
      <c r="D568">
        <v>512</v>
      </c>
      <c r="E568">
        <f t="shared" si="72"/>
        <v>435</v>
      </c>
      <c r="F568">
        <v>357</v>
      </c>
      <c r="G568">
        <f t="shared" si="73"/>
        <v>245</v>
      </c>
      <c r="H568">
        <v>133</v>
      </c>
      <c r="I568">
        <v>699</v>
      </c>
      <c r="J568">
        <v>623</v>
      </c>
      <c r="K568">
        <v>512</v>
      </c>
      <c r="L568">
        <f t="shared" si="74"/>
        <v>435</v>
      </c>
      <c r="M568">
        <v>357</v>
      </c>
      <c r="N568">
        <f t="shared" si="75"/>
        <v>245</v>
      </c>
      <c r="O568">
        <v>133</v>
      </c>
      <c r="P568">
        <v>524</v>
      </c>
      <c r="Q568">
        <v>477</v>
      </c>
      <c r="R568">
        <v>401</v>
      </c>
      <c r="S568">
        <f t="shared" si="76"/>
        <v>346</v>
      </c>
      <c r="T568">
        <v>290</v>
      </c>
      <c r="U568">
        <f t="shared" si="77"/>
        <v>203</v>
      </c>
      <c r="V568">
        <v>116</v>
      </c>
      <c r="W568">
        <v>524</v>
      </c>
      <c r="X568">
        <v>477</v>
      </c>
      <c r="Y568">
        <v>401</v>
      </c>
      <c r="Z568">
        <f t="shared" si="78"/>
        <v>346</v>
      </c>
      <c r="AA568">
        <v>290</v>
      </c>
      <c r="AB568">
        <f t="shared" si="79"/>
        <v>203</v>
      </c>
      <c r="AC568">
        <v>116</v>
      </c>
    </row>
    <row r="569" spans="1:29" x14ac:dyDescent="0.25">
      <c r="A569" t="s">
        <v>576</v>
      </c>
      <c r="B569">
        <v>645</v>
      </c>
      <c r="C569">
        <v>576</v>
      </c>
      <c r="D569">
        <v>476</v>
      </c>
      <c r="E569">
        <f t="shared" si="72"/>
        <v>408</v>
      </c>
      <c r="F569">
        <v>340</v>
      </c>
      <c r="G569">
        <f t="shared" si="73"/>
        <v>232</v>
      </c>
      <c r="H569">
        <v>124</v>
      </c>
      <c r="I569">
        <v>645</v>
      </c>
      <c r="J569">
        <v>576</v>
      </c>
      <c r="K569">
        <v>476</v>
      </c>
      <c r="L569">
        <f t="shared" si="74"/>
        <v>408</v>
      </c>
      <c r="M569">
        <v>340</v>
      </c>
      <c r="N569">
        <f t="shared" si="75"/>
        <v>232</v>
      </c>
      <c r="O569">
        <v>124</v>
      </c>
      <c r="P569">
        <v>483</v>
      </c>
      <c r="Q569">
        <v>441</v>
      </c>
      <c r="R569">
        <v>372</v>
      </c>
      <c r="S569">
        <f t="shared" si="76"/>
        <v>324</v>
      </c>
      <c r="T569">
        <v>276</v>
      </c>
      <c r="U569">
        <f t="shared" si="77"/>
        <v>192</v>
      </c>
      <c r="V569">
        <v>108</v>
      </c>
      <c r="W569">
        <v>483</v>
      </c>
      <c r="X569">
        <v>441</v>
      </c>
      <c r="Y569">
        <v>372</v>
      </c>
      <c r="Z569">
        <f t="shared" si="78"/>
        <v>324</v>
      </c>
      <c r="AA569">
        <v>276</v>
      </c>
      <c r="AB569">
        <f t="shared" si="79"/>
        <v>192</v>
      </c>
      <c r="AC569">
        <v>108</v>
      </c>
    </row>
    <row r="570" spans="1:29" x14ac:dyDescent="0.25">
      <c r="A570" t="s">
        <v>577</v>
      </c>
      <c r="B570">
        <v>585</v>
      </c>
      <c r="C570">
        <v>526</v>
      </c>
      <c r="D570">
        <v>436</v>
      </c>
      <c r="E570">
        <f t="shared" si="72"/>
        <v>374</v>
      </c>
      <c r="F570">
        <v>312</v>
      </c>
      <c r="G570">
        <f t="shared" si="73"/>
        <v>213</v>
      </c>
      <c r="H570">
        <v>113</v>
      </c>
      <c r="I570">
        <v>585</v>
      </c>
      <c r="J570">
        <v>526</v>
      </c>
      <c r="K570">
        <v>436</v>
      </c>
      <c r="L570">
        <f t="shared" si="74"/>
        <v>374</v>
      </c>
      <c r="M570">
        <v>312</v>
      </c>
      <c r="N570">
        <f t="shared" si="75"/>
        <v>213</v>
      </c>
      <c r="O570">
        <v>113</v>
      </c>
      <c r="P570">
        <v>439</v>
      </c>
      <c r="Q570">
        <v>403</v>
      </c>
      <c r="R570">
        <v>341</v>
      </c>
      <c r="S570">
        <f t="shared" si="76"/>
        <v>297</v>
      </c>
      <c r="T570">
        <v>253</v>
      </c>
      <c r="U570">
        <f t="shared" si="77"/>
        <v>176</v>
      </c>
      <c r="V570">
        <v>99</v>
      </c>
      <c r="W570">
        <v>439</v>
      </c>
      <c r="X570">
        <v>403</v>
      </c>
      <c r="Y570">
        <v>341</v>
      </c>
      <c r="Z570">
        <f t="shared" si="78"/>
        <v>297</v>
      </c>
      <c r="AA570">
        <v>253</v>
      </c>
      <c r="AB570">
        <f t="shared" si="79"/>
        <v>176</v>
      </c>
      <c r="AC570">
        <v>99</v>
      </c>
    </row>
    <row r="571" spans="1:29" x14ac:dyDescent="0.25">
      <c r="A571" t="s">
        <v>578</v>
      </c>
      <c r="B571">
        <v>521</v>
      </c>
      <c r="C571">
        <v>472</v>
      </c>
      <c r="D571">
        <v>393</v>
      </c>
      <c r="E571">
        <f t="shared" si="72"/>
        <v>338</v>
      </c>
      <c r="F571">
        <v>282</v>
      </c>
      <c r="G571">
        <f t="shared" si="73"/>
        <v>192</v>
      </c>
      <c r="H571">
        <v>102</v>
      </c>
      <c r="I571">
        <v>521</v>
      </c>
      <c r="J571">
        <v>472</v>
      </c>
      <c r="K571">
        <v>393</v>
      </c>
      <c r="L571">
        <f t="shared" si="74"/>
        <v>338</v>
      </c>
      <c r="M571">
        <v>282</v>
      </c>
      <c r="N571">
        <f t="shared" si="75"/>
        <v>192</v>
      </c>
      <c r="O571">
        <v>102</v>
      </c>
      <c r="P571">
        <v>391</v>
      </c>
      <c r="Q571">
        <v>361</v>
      </c>
      <c r="R571">
        <v>308</v>
      </c>
      <c r="S571">
        <f t="shared" si="76"/>
        <v>269</v>
      </c>
      <c r="T571">
        <v>229</v>
      </c>
      <c r="U571">
        <f t="shared" si="77"/>
        <v>159</v>
      </c>
      <c r="V571">
        <v>88</v>
      </c>
      <c r="W571">
        <v>391</v>
      </c>
      <c r="X571">
        <v>361</v>
      </c>
      <c r="Y571">
        <v>308</v>
      </c>
      <c r="Z571">
        <f t="shared" si="78"/>
        <v>269</v>
      </c>
      <c r="AA571">
        <v>229</v>
      </c>
      <c r="AB571">
        <f t="shared" si="79"/>
        <v>159</v>
      </c>
      <c r="AC571">
        <v>88</v>
      </c>
    </row>
    <row r="572" spans="1:29" x14ac:dyDescent="0.25">
      <c r="A572" t="s">
        <v>579</v>
      </c>
      <c r="B572">
        <v>797</v>
      </c>
      <c r="C572">
        <v>704</v>
      </c>
      <c r="D572">
        <v>565</v>
      </c>
      <c r="E572">
        <f t="shared" si="72"/>
        <v>480</v>
      </c>
      <c r="F572">
        <v>394</v>
      </c>
      <c r="G572">
        <f t="shared" si="73"/>
        <v>269</v>
      </c>
      <c r="H572">
        <v>144</v>
      </c>
      <c r="I572">
        <v>797</v>
      </c>
      <c r="J572">
        <v>704</v>
      </c>
      <c r="K572">
        <v>565</v>
      </c>
      <c r="L572">
        <f t="shared" si="74"/>
        <v>480</v>
      </c>
      <c r="M572">
        <v>394</v>
      </c>
      <c r="N572">
        <f t="shared" si="75"/>
        <v>269</v>
      </c>
      <c r="O572">
        <v>144</v>
      </c>
      <c r="P572">
        <v>598</v>
      </c>
      <c r="Q572">
        <v>539</v>
      </c>
      <c r="R572">
        <v>442</v>
      </c>
      <c r="S572">
        <f t="shared" si="76"/>
        <v>381</v>
      </c>
      <c r="T572">
        <v>320</v>
      </c>
      <c r="U572">
        <f t="shared" si="77"/>
        <v>223</v>
      </c>
      <c r="V572">
        <v>125</v>
      </c>
      <c r="W572">
        <v>598</v>
      </c>
      <c r="X572">
        <v>539</v>
      </c>
      <c r="Y572">
        <v>442</v>
      </c>
      <c r="Z572">
        <f t="shared" si="78"/>
        <v>381</v>
      </c>
      <c r="AA572">
        <v>320</v>
      </c>
      <c r="AB572">
        <f t="shared" si="79"/>
        <v>223</v>
      </c>
      <c r="AC572">
        <v>125</v>
      </c>
    </row>
    <row r="573" spans="1:29" x14ac:dyDescent="0.25">
      <c r="A573" t="s">
        <v>580</v>
      </c>
      <c r="B573">
        <v>743</v>
      </c>
      <c r="C573">
        <v>660</v>
      </c>
      <c r="D573">
        <v>539</v>
      </c>
      <c r="E573">
        <f t="shared" si="72"/>
        <v>457</v>
      </c>
      <c r="F573">
        <v>374</v>
      </c>
      <c r="G573">
        <f t="shared" si="73"/>
        <v>256</v>
      </c>
      <c r="H573">
        <v>137</v>
      </c>
      <c r="I573">
        <v>743</v>
      </c>
      <c r="J573">
        <v>660</v>
      </c>
      <c r="K573">
        <v>539</v>
      </c>
      <c r="L573">
        <f t="shared" si="74"/>
        <v>457</v>
      </c>
      <c r="M573">
        <v>374</v>
      </c>
      <c r="N573">
        <f t="shared" si="75"/>
        <v>256</v>
      </c>
      <c r="O573">
        <v>137</v>
      </c>
      <c r="P573">
        <v>557</v>
      </c>
      <c r="Q573">
        <v>505</v>
      </c>
      <c r="R573">
        <v>422</v>
      </c>
      <c r="S573">
        <f t="shared" si="76"/>
        <v>363</v>
      </c>
      <c r="T573">
        <v>304</v>
      </c>
      <c r="U573">
        <f t="shared" si="77"/>
        <v>212</v>
      </c>
      <c r="V573">
        <v>119</v>
      </c>
      <c r="W573">
        <v>557</v>
      </c>
      <c r="X573">
        <v>505</v>
      </c>
      <c r="Y573">
        <v>422</v>
      </c>
      <c r="Z573">
        <f t="shared" si="78"/>
        <v>363</v>
      </c>
      <c r="AA573">
        <v>304</v>
      </c>
      <c r="AB573">
        <f t="shared" si="79"/>
        <v>212</v>
      </c>
      <c r="AC573">
        <v>119</v>
      </c>
    </row>
    <row r="574" spans="1:29" x14ac:dyDescent="0.25">
      <c r="A574" t="s">
        <v>581</v>
      </c>
      <c r="B574">
        <v>690</v>
      </c>
      <c r="C574">
        <v>614</v>
      </c>
      <c r="D574">
        <v>505</v>
      </c>
      <c r="E574">
        <f t="shared" si="72"/>
        <v>429</v>
      </c>
      <c r="F574">
        <v>352</v>
      </c>
      <c r="G574">
        <f t="shared" si="73"/>
        <v>241</v>
      </c>
      <c r="H574">
        <v>129</v>
      </c>
      <c r="I574">
        <v>690</v>
      </c>
      <c r="J574">
        <v>614</v>
      </c>
      <c r="K574">
        <v>505</v>
      </c>
      <c r="L574">
        <f t="shared" si="74"/>
        <v>429</v>
      </c>
      <c r="M574">
        <v>352</v>
      </c>
      <c r="N574">
        <f t="shared" si="75"/>
        <v>241</v>
      </c>
      <c r="O574">
        <v>129</v>
      </c>
      <c r="P574">
        <v>517</v>
      </c>
      <c r="Q574">
        <v>470</v>
      </c>
      <c r="R574">
        <v>395</v>
      </c>
      <c r="S574">
        <f t="shared" si="76"/>
        <v>341</v>
      </c>
      <c r="T574">
        <v>286</v>
      </c>
      <c r="U574">
        <f t="shared" si="77"/>
        <v>199</v>
      </c>
      <c r="V574">
        <v>112</v>
      </c>
      <c r="W574">
        <v>517</v>
      </c>
      <c r="X574">
        <v>470</v>
      </c>
      <c r="Y574">
        <v>395</v>
      </c>
      <c r="Z574">
        <f t="shared" si="78"/>
        <v>341</v>
      </c>
      <c r="AA574">
        <v>286</v>
      </c>
      <c r="AB574">
        <f t="shared" si="79"/>
        <v>199</v>
      </c>
      <c r="AC574">
        <v>112</v>
      </c>
    </row>
    <row r="575" spans="1:29" x14ac:dyDescent="0.25">
      <c r="A575" t="s">
        <v>582</v>
      </c>
      <c r="B575">
        <v>636</v>
      </c>
      <c r="C575">
        <v>569</v>
      </c>
      <c r="D575">
        <v>470</v>
      </c>
      <c r="E575">
        <f t="shared" si="72"/>
        <v>403</v>
      </c>
      <c r="F575">
        <v>335</v>
      </c>
      <c r="G575">
        <f t="shared" si="73"/>
        <v>229</v>
      </c>
      <c r="H575">
        <v>123</v>
      </c>
      <c r="I575">
        <v>636</v>
      </c>
      <c r="J575">
        <v>569</v>
      </c>
      <c r="K575">
        <v>470</v>
      </c>
      <c r="L575">
        <f t="shared" si="74"/>
        <v>403</v>
      </c>
      <c r="M575">
        <v>335</v>
      </c>
      <c r="N575">
        <f t="shared" si="75"/>
        <v>229</v>
      </c>
      <c r="O575">
        <v>123</v>
      </c>
      <c r="P575">
        <v>477</v>
      </c>
      <c r="Q575">
        <v>435</v>
      </c>
      <c r="R575">
        <v>368</v>
      </c>
      <c r="S575">
        <f t="shared" si="76"/>
        <v>320</v>
      </c>
      <c r="T575">
        <v>272</v>
      </c>
      <c r="U575">
        <f t="shared" si="77"/>
        <v>190</v>
      </c>
      <c r="V575">
        <v>107</v>
      </c>
      <c r="W575">
        <v>477</v>
      </c>
      <c r="X575">
        <v>435</v>
      </c>
      <c r="Y575">
        <v>368</v>
      </c>
      <c r="Z575">
        <f t="shared" si="78"/>
        <v>320</v>
      </c>
      <c r="AA575">
        <v>272</v>
      </c>
      <c r="AB575">
        <f t="shared" si="79"/>
        <v>190</v>
      </c>
      <c r="AC575">
        <v>107</v>
      </c>
    </row>
    <row r="576" spans="1:29" x14ac:dyDescent="0.25">
      <c r="A576" t="s">
        <v>583</v>
      </c>
      <c r="B576">
        <v>579</v>
      </c>
      <c r="C576">
        <v>521</v>
      </c>
      <c r="D576">
        <v>433</v>
      </c>
      <c r="E576">
        <f t="shared" si="72"/>
        <v>372</v>
      </c>
      <c r="F576">
        <v>310</v>
      </c>
      <c r="G576">
        <f t="shared" si="73"/>
        <v>212</v>
      </c>
      <c r="H576">
        <v>113</v>
      </c>
      <c r="I576">
        <v>579</v>
      </c>
      <c r="J576">
        <v>521</v>
      </c>
      <c r="K576">
        <v>433</v>
      </c>
      <c r="L576">
        <f t="shared" si="74"/>
        <v>372</v>
      </c>
      <c r="M576">
        <v>310</v>
      </c>
      <c r="N576">
        <f t="shared" si="75"/>
        <v>212</v>
      </c>
      <c r="O576">
        <v>113</v>
      </c>
      <c r="P576">
        <v>434</v>
      </c>
      <c r="Q576">
        <v>399</v>
      </c>
      <c r="R576">
        <v>339</v>
      </c>
      <c r="S576">
        <f t="shared" si="76"/>
        <v>296</v>
      </c>
      <c r="T576">
        <v>252</v>
      </c>
      <c r="U576">
        <f t="shared" si="77"/>
        <v>176</v>
      </c>
      <c r="V576">
        <v>99</v>
      </c>
      <c r="W576">
        <v>434</v>
      </c>
      <c r="X576">
        <v>399</v>
      </c>
      <c r="Y576">
        <v>339</v>
      </c>
      <c r="Z576">
        <f t="shared" si="78"/>
        <v>296</v>
      </c>
      <c r="AA576">
        <v>252</v>
      </c>
      <c r="AB576">
        <f t="shared" si="79"/>
        <v>176</v>
      </c>
      <c r="AC576">
        <v>99</v>
      </c>
    </row>
    <row r="577" spans="1:29" x14ac:dyDescent="0.25">
      <c r="A577" t="s">
        <v>584</v>
      </c>
      <c r="B577">
        <v>517</v>
      </c>
      <c r="C577">
        <v>467</v>
      </c>
      <c r="D577">
        <v>389</v>
      </c>
      <c r="E577">
        <f t="shared" si="72"/>
        <v>335</v>
      </c>
      <c r="F577">
        <v>280</v>
      </c>
      <c r="G577">
        <f t="shared" si="73"/>
        <v>191</v>
      </c>
      <c r="H577">
        <v>102</v>
      </c>
      <c r="I577">
        <v>517</v>
      </c>
      <c r="J577">
        <v>467</v>
      </c>
      <c r="K577">
        <v>389</v>
      </c>
      <c r="L577">
        <f t="shared" si="74"/>
        <v>335</v>
      </c>
      <c r="M577">
        <v>280</v>
      </c>
      <c r="N577">
        <f t="shared" si="75"/>
        <v>191</v>
      </c>
      <c r="O577">
        <v>102</v>
      </c>
      <c r="P577">
        <v>388</v>
      </c>
      <c r="Q577">
        <v>358</v>
      </c>
      <c r="R577">
        <v>305</v>
      </c>
      <c r="S577">
        <f t="shared" si="76"/>
        <v>266</v>
      </c>
      <c r="T577">
        <v>227</v>
      </c>
      <c r="U577">
        <f t="shared" si="77"/>
        <v>158</v>
      </c>
      <c r="V577">
        <v>88</v>
      </c>
      <c r="W577">
        <v>388</v>
      </c>
      <c r="X577">
        <v>358</v>
      </c>
      <c r="Y577">
        <v>305</v>
      </c>
      <c r="Z577">
        <f t="shared" si="78"/>
        <v>266</v>
      </c>
      <c r="AA577">
        <v>227</v>
      </c>
      <c r="AB577">
        <f t="shared" si="79"/>
        <v>158</v>
      </c>
      <c r="AC577">
        <v>88</v>
      </c>
    </row>
    <row r="578" spans="1:29" x14ac:dyDescent="0.25">
      <c r="A578" t="s">
        <v>585</v>
      </c>
      <c r="B578">
        <v>735</v>
      </c>
      <c r="C578">
        <v>651</v>
      </c>
      <c r="D578">
        <v>532</v>
      </c>
      <c r="E578">
        <f t="shared" si="72"/>
        <v>451</v>
      </c>
      <c r="F578">
        <v>369</v>
      </c>
      <c r="G578">
        <f t="shared" si="73"/>
        <v>252</v>
      </c>
      <c r="H578">
        <v>134</v>
      </c>
      <c r="I578">
        <v>735</v>
      </c>
      <c r="J578">
        <v>651</v>
      </c>
      <c r="K578">
        <v>532</v>
      </c>
      <c r="L578">
        <f t="shared" si="74"/>
        <v>451</v>
      </c>
      <c r="M578">
        <v>369</v>
      </c>
      <c r="N578">
        <f t="shared" si="75"/>
        <v>252</v>
      </c>
      <c r="O578">
        <v>134</v>
      </c>
      <c r="P578">
        <v>551</v>
      </c>
      <c r="Q578">
        <v>498</v>
      </c>
      <c r="R578">
        <v>416</v>
      </c>
      <c r="S578">
        <f t="shared" si="76"/>
        <v>358</v>
      </c>
      <c r="T578">
        <v>299</v>
      </c>
      <c r="U578">
        <f t="shared" si="77"/>
        <v>208</v>
      </c>
      <c r="V578">
        <v>117</v>
      </c>
      <c r="W578">
        <v>551</v>
      </c>
      <c r="X578">
        <v>498</v>
      </c>
      <c r="Y578">
        <v>416</v>
      </c>
      <c r="Z578">
        <f t="shared" si="78"/>
        <v>358</v>
      </c>
      <c r="AA578">
        <v>299</v>
      </c>
      <c r="AB578">
        <f t="shared" si="79"/>
        <v>208</v>
      </c>
      <c r="AC578">
        <v>117</v>
      </c>
    </row>
    <row r="579" spans="1:29" x14ac:dyDescent="0.25">
      <c r="A579" t="s">
        <v>586</v>
      </c>
      <c r="B579">
        <v>680</v>
      </c>
      <c r="C579">
        <v>606</v>
      </c>
      <c r="D579">
        <v>498</v>
      </c>
      <c r="E579">
        <f t="shared" si="72"/>
        <v>423</v>
      </c>
      <c r="F579">
        <v>347</v>
      </c>
      <c r="G579">
        <f t="shared" si="73"/>
        <v>237</v>
      </c>
      <c r="H579">
        <v>126</v>
      </c>
      <c r="I579">
        <v>680</v>
      </c>
      <c r="J579">
        <v>606</v>
      </c>
      <c r="K579">
        <v>498</v>
      </c>
      <c r="L579">
        <f t="shared" si="74"/>
        <v>423</v>
      </c>
      <c r="M579">
        <v>347</v>
      </c>
      <c r="N579">
        <f t="shared" si="75"/>
        <v>237</v>
      </c>
      <c r="O579">
        <v>126</v>
      </c>
      <c r="P579">
        <v>510</v>
      </c>
      <c r="Q579">
        <v>464</v>
      </c>
      <c r="R579">
        <v>390</v>
      </c>
      <c r="S579">
        <f t="shared" si="76"/>
        <v>336</v>
      </c>
      <c r="T579">
        <v>282</v>
      </c>
      <c r="U579">
        <f t="shared" si="77"/>
        <v>196</v>
      </c>
      <c r="V579">
        <v>110</v>
      </c>
      <c r="W579">
        <v>510</v>
      </c>
      <c r="X579">
        <v>464</v>
      </c>
      <c r="Y579">
        <v>390</v>
      </c>
      <c r="Z579">
        <f t="shared" si="78"/>
        <v>336</v>
      </c>
      <c r="AA579">
        <v>282</v>
      </c>
      <c r="AB579">
        <f t="shared" si="79"/>
        <v>196</v>
      </c>
      <c r="AC579">
        <v>110</v>
      </c>
    </row>
    <row r="580" spans="1:29" x14ac:dyDescent="0.25">
      <c r="A580" t="s">
        <v>587</v>
      </c>
      <c r="B580">
        <v>627</v>
      </c>
      <c r="C580">
        <v>561</v>
      </c>
      <c r="D580">
        <v>463</v>
      </c>
      <c r="E580">
        <f t="shared" si="72"/>
        <v>397</v>
      </c>
      <c r="F580">
        <v>330</v>
      </c>
      <c r="G580">
        <f t="shared" si="73"/>
        <v>226</v>
      </c>
      <c r="H580">
        <v>121</v>
      </c>
      <c r="I580">
        <v>627</v>
      </c>
      <c r="J580">
        <v>561</v>
      </c>
      <c r="K580">
        <v>463</v>
      </c>
      <c r="L580">
        <f t="shared" si="74"/>
        <v>397</v>
      </c>
      <c r="M580">
        <v>330</v>
      </c>
      <c r="N580">
        <f t="shared" si="75"/>
        <v>226</v>
      </c>
      <c r="O580">
        <v>121</v>
      </c>
      <c r="P580">
        <v>470</v>
      </c>
      <c r="Q580">
        <v>429</v>
      </c>
      <c r="R580">
        <v>362</v>
      </c>
      <c r="S580">
        <f t="shared" si="76"/>
        <v>315</v>
      </c>
      <c r="T580">
        <v>268</v>
      </c>
      <c r="U580">
        <f t="shared" si="77"/>
        <v>187</v>
      </c>
      <c r="V580">
        <v>105</v>
      </c>
      <c r="W580">
        <v>470</v>
      </c>
      <c r="X580">
        <v>429</v>
      </c>
      <c r="Y580">
        <v>362</v>
      </c>
      <c r="Z580">
        <f t="shared" si="78"/>
        <v>315</v>
      </c>
      <c r="AA580">
        <v>268</v>
      </c>
      <c r="AB580">
        <f t="shared" si="79"/>
        <v>187</v>
      </c>
      <c r="AC580">
        <v>105</v>
      </c>
    </row>
    <row r="581" spans="1:29" x14ac:dyDescent="0.25">
      <c r="A581" t="s">
        <v>588</v>
      </c>
      <c r="B581">
        <v>570</v>
      </c>
      <c r="C581">
        <v>513</v>
      </c>
      <c r="D581">
        <v>426</v>
      </c>
      <c r="E581">
        <f t="shared" ref="E581:E644" si="80">ROUND((D581+F581)/2,0)</f>
        <v>366</v>
      </c>
      <c r="F581">
        <v>306</v>
      </c>
      <c r="G581">
        <f t="shared" ref="G581:G644" si="81">ROUND((F581+H581)/2,0)</f>
        <v>209</v>
      </c>
      <c r="H581">
        <v>112</v>
      </c>
      <c r="I581">
        <v>570</v>
      </c>
      <c r="J581">
        <v>513</v>
      </c>
      <c r="K581">
        <v>426</v>
      </c>
      <c r="L581">
        <f t="shared" ref="L581:L644" si="82">ROUND((K581+M581)/2,0)</f>
        <v>366</v>
      </c>
      <c r="M581">
        <v>306</v>
      </c>
      <c r="N581">
        <f t="shared" ref="N581:N644" si="83">ROUND((M581+O581)/2,0)</f>
        <v>209</v>
      </c>
      <c r="O581">
        <v>112</v>
      </c>
      <c r="P581">
        <v>428</v>
      </c>
      <c r="Q581">
        <v>392</v>
      </c>
      <c r="R581">
        <v>333</v>
      </c>
      <c r="S581">
        <f t="shared" ref="S581:S644" si="84">ROUND((R581+T581)/2,0)</f>
        <v>291</v>
      </c>
      <c r="T581">
        <v>248</v>
      </c>
      <c r="U581">
        <f t="shared" ref="U581:U644" si="85">ROUND((T581+V581)/2,0)</f>
        <v>173</v>
      </c>
      <c r="V581">
        <v>98</v>
      </c>
      <c r="W581">
        <v>428</v>
      </c>
      <c r="X581">
        <v>392</v>
      </c>
      <c r="Y581">
        <v>333</v>
      </c>
      <c r="Z581">
        <f t="shared" ref="Z581:Z644" si="86">ROUND((Y581+AA581)/2,0)</f>
        <v>291</v>
      </c>
      <c r="AA581">
        <v>248</v>
      </c>
      <c r="AB581">
        <f t="shared" ref="AB581:AB644" si="87">ROUND((AA581+AC581)/2,0)</f>
        <v>173</v>
      </c>
      <c r="AC581">
        <v>98</v>
      </c>
    </row>
    <row r="582" spans="1:29" x14ac:dyDescent="0.25">
      <c r="A582" t="s">
        <v>589</v>
      </c>
      <c r="B582">
        <v>511</v>
      </c>
      <c r="C582">
        <v>461</v>
      </c>
      <c r="D582">
        <v>386</v>
      </c>
      <c r="E582">
        <f t="shared" si="80"/>
        <v>332</v>
      </c>
      <c r="F582">
        <v>278</v>
      </c>
      <c r="G582">
        <f t="shared" si="81"/>
        <v>190</v>
      </c>
      <c r="H582">
        <v>102</v>
      </c>
      <c r="I582">
        <v>511</v>
      </c>
      <c r="J582">
        <v>461</v>
      </c>
      <c r="K582">
        <v>386</v>
      </c>
      <c r="L582">
        <f t="shared" si="82"/>
        <v>332</v>
      </c>
      <c r="M582">
        <v>278</v>
      </c>
      <c r="N582">
        <f t="shared" si="83"/>
        <v>190</v>
      </c>
      <c r="O582">
        <v>102</v>
      </c>
      <c r="P582">
        <v>383</v>
      </c>
      <c r="Q582">
        <v>353</v>
      </c>
      <c r="R582">
        <v>302</v>
      </c>
      <c r="S582">
        <f t="shared" si="84"/>
        <v>264</v>
      </c>
      <c r="T582">
        <v>226</v>
      </c>
      <c r="U582">
        <f t="shared" si="85"/>
        <v>157</v>
      </c>
      <c r="V582">
        <v>88</v>
      </c>
      <c r="W582">
        <v>383</v>
      </c>
      <c r="X582">
        <v>353</v>
      </c>
      <c r="Y582">
        <v>302</v>
      </c>
      <c r="Z582">
        <f t="shared" si="86"/>
        <v>264</v>
      </c>
      <c r="AA582">
        <v>226</v>
      </c>
      <c r="AB582">
        <f t="shared" si="87"/>
        <v>157</v>
      </c>
      <c r="AC582">
        <v>88</v>
      </c>
    </row>
    <row r="583" spans="1:29" x14ac:dyDescent="0.25">
      <c r="A583" t="s">
        <v>590</v>
      </c>
      <c r="B583">
        <v>446</v>
      </c>
      <c r="C583">
        <v>406</v>
      </c>
      <c r="D583">
        <v>341</v>
      </c>
      <c r="E583">
        <f t="shared" si="80"/>
        <v>294</v>
      </c>
      <c r="F583">
        <v>247</v>
      </c>
      <c r="G583">
        <f t="shared" si="81"/>
        <v>169</v>
      </c>
      <c r="H583">
        <v>90</v>
      </c>
      <c r="I583">
        <v>446</v>
      </c>
      <c r="J583">
        <v>406</v>
      </c>
      <c r="K583">
        <v>341</v>
      </c>
      <c r="L583">
        <f t="shared" si="82"/>
        <v>294</v>
      </c>
      <c r="M583">
        <v>247</v>
      </c>
      <c r="N583">
        <f t="shared" si="83"/>
        <v>169</v>
      </c>
      <c r="O583">
        <v>90</v>
      </c>
      <c r="P583">
        <v>334</v>
      </c>
      <c r="Q583">
        <v>311</v>
      </c>
      <c r="R583">
        <v>267</v>
      </c>
      <c r="S583">
        <f t="shared" si="84"/>
        <v>234</v>
      </c>
      <c r="T583">
        <v>201</v>
      </c>
      <c r="U583">
        <f t="shared" si="85"/>
        <v>140</v>
      </c>
      <c r="V583">
        <v>78</v>
      </c>
      <c r="W583">
        <v>334</v>
      </c>
      <c r="X583">
        <v>311</v>
      </c>
      <c r="Y583">
        <v>267</v>
      </c>
      <c r="Z583">
        <f t="shared" si="86"/>
        <v>234</v>
      </c>
      <c r="AA583">
        <v>201</v>
      </c>
      <c r="AB583">
        <f t="shared" si="87"/>
        <v>140</v>
      </c>
      <c r="AC583">
        <v>78</v>
      </c>
    </row>
    <row r="584" spans="1:29" x14ac:dyDescent="0.25">
      <c r="A584" t="s">
        <v>591</v>
      </c>
      <c r="B584">
        <v>672</v>
      </c>
      <c r="C584">
        <v>597</v>
      </c>
      <c r="D584">
        <v>489</v>
      </c>
      <c r="E584">
        <f t="shared" si="80"/>
        <v>415</v>
      </c>
      <c r="F584">
        <v>341</v>
      </c>
      <c r="G584">
        <f t="shared" si="81"/>
        <v>233</v>
      </c>
      <c r="H584">
        <v>125</v>
      </c>
      <c r="I584">
        <v>672</v>
      </c>
      <c r="J584">
        <v>597</v>
      </c>
      <c r="K584">
        <v>489</v>
      </c>
      <c r="L584">
        <f t="shared" si="82"/>
        <v>415</v>
      </c>
      <c r="M584">
        <v>341</v>
      </c>
      <c r="N584">
        <f t="shared" si="83"/>
        <v>233</v>
      </c>
      <c r="O584">
        <v>125</v>
      </c>
      <c r="P584">
        <v>504</v>
      </c>
      <c r="Q584">
        <v>457</v>
      </c>
      <c r="R584">
        <v>383</v>
      </c>
      <c r="S584">
        <f t="shared" si="84"/>
        <v>330</v>
      </c>
      <c r="T584">
        <v>277</v>
      </c>
      <c r="U584">
        <f t="shared" si="85"/>
        <v>193</v>
      </c>
      <c r="V584">
        <v>109</v>
      </c>
      <c r="W584">
        <v>504</v>
      </c>
      <c r="X584">
        <v>457</v>
      </c>
      <c r="Y584">
        <v>383</v>
      </c>
      <c r="Z584">
        <f t="shared" si="86"/>
        <v>330</v>
      </c>
      <c r="AA584">
        <v>277</v>
      </c>
      <c r="AB584">
        <f t="shared" si="87"/>
        <v>193</v>
      </c>
      <c r="AC584">
        <v>109</v>
      </c>
    </row>
    <row r="585" spans="1:29" x14ac:dyDescent="0.25">
      <c r="A585" t="s">
        <v>592</v>
      </c>
      <c r="B585">
        <v>617</v>
      </c>
      <c r="C585">
        <v>551</v>
      </c>
      <c r="D585">
        <v>454</v>
      </c>
      <c r="E585">
        <f t="shared" si="80"/>
        <v>389</v>
      </c>
      <c r="F585">
        <v>324</v>
      </c>
      <c r="G585">
        <f t="shared" si="81"/>
        <v>222</v>
      </c>
      <c r="H585">
        <v>119</v>
      </c>
      <c r="I585">
        <v>617</v>
      </c>
      <c r="J585">
        <v>551</v>
      </c>
      <c r="K585">
        <v>454</v>
      </c>
      <c r="L585">
        <f t="shared" si="82"/>
        <v>389</v>
      </c>
      <c r="M585">
        <v>324</v>
      </c>
      <c r="N585">
        <f t="shared" si="83"/>
        <v>222</v>
      </c>
      <c r="O585">
        <v>119</v>
      </c>
      <c r="P585">
        <v>462</v>
      </c>
      <c r="Q585">
        <v>422</v>
      </c>
      <c r="R585">
        <v>355</v>
      </c>
      <c r="S585">
        <f t="shared" si="84"/>
        <v>309</v>
      </c>
      <c r="T585">
        <v>263</v>
      </c>
      <c r="U585">
        <f t="shared" si="85"/>
        <v>184</v>
      </c>
      <c r="V585">
        <v>104</v>
      </c>
      <c r="W585">
        <v>462</v>
      </c>
      <c r="X585">
        <v>422</v>
      </c>
      <c r="Y585">
        <v>355</v>
      </c>
      <c r="Z585">
        <f t="shared" si="86"/>
        <v>309</v>
      </c>
      <c r="AA585">
        <v>263</v>
      </c>
      <c r="AB585">
        <f t="shared" si="87"/>
        <v>184</v>
      </c>
      <c r="AC585">
        <v>104</v>
      </c>
    </row>
    <row r="586" spans="1:29" x14ac:dyDescent="0.25">
      <c r="A586" t="s">
        <v>593</v>
      </c>
      <c r="B586">
        <v>562</v>
      </c>
      <c r="C586">
        <v>504</v>
      </c>
      <c r="D586">
        <v>419</v>
      </c>
      <c r="E586">
        <f t="shared" si="80"/>
        <v>360</v>
      </c>
      <c r="F586">
        <v>300</v>
      </c>
      <c r="G586">
        <f t="shared" si="81"/>
        <v>206</v>
      </c>
      <c r="H586">
        <v>111</v>
      </c>
      <c r="I586">
        <v>562</v>
      </c>
      <c r="J586">
        <v>504</v>
      </c>
      <c r="K586">
        <v>419</v>
      </c>
      <c r="L586">
        <f t="shared" si="82"/>
        <v>360</v>
      </c>
      <c r="M586">
        <v>300</v>
      </c>
      <c r="N586">
        <f t="shared" si="83"/>
        <v>206</v>
      </c>
      <c r="O586">
        <v>111</v>
      </c>
      <c r="P586">
        <v>421</v>
      </c>
      <c r="Q586">
        <v>385</v>
      </c>
      <c r="R586">
        <v>328</v>
      </c>
      <c r="S586">
        <f t="shared" si="84"/>
        <v>286</v>
      </c>
      <c r="T586">
        <v>243</v>
      </c>
      <c r="U586">
        <f t="shared" si="85"/>
        <v>170</v>
      </c>
      <c r="V586">
        <v>96</v>
      </c>
      <c r="W586">
        <v>421</v>
      </c>
      <c r="X586">
        <v>385</v>
      </c>
      <c r="Y586">
        <v>328</v>
      </c>
      <c r="Z586">
        <f t="shared" si="86"/>
        <v>286</v>
      </c>
      <c r="AA586">
        <v>243</v>
      </c>
      <c r="AB586">
        <f t="shared" si="87"/>
        <v>170</v>
      </c>
      <c r="AC586">
        <v>96</v>
      </c>
    </row>
    <row r="587" spans="1:29" x14ac:dyDescent="0.25">
      <c r="A587" t="s">
        <v>594</v>
      </c>
      <c r="B587">
        <v>505</v>
      </c>
      <c r="C587">
        <v>456</v>
      </c>
      <c r="D587">
        <v>380</v>
      </c>
      <c r="E587">
        <f t="shared" si="80"/>
        <v>328</v>
      </c>
      <c r="F587">
        <v>275</v>
      </c>
      <c r="G587">
        <f t="shared" si="81"/>
        <v>189</v>
      </c>
      <c r="H587">
        <v>102</v>
      </c>
      <c r="I587">
        <v>505</v>
      </c>
      <c r="J587">
        <v>456</v>
      </c>
      <c r="K587">
        <v>380</v>
      </c>
      <c r="L587">
        <f t="shared" si="82"/>
        <v>328</v>
      </c>
      <c r="M587">
        <v>275</v>
      </c>
      <c r="N587">
        <f t="shared" si="83"/>
        <v>189</v>
      </c>
      <c r="O587">
        <v>102</v>
      </c>
      <c r="P587">
        <v>378</v>
      </c>
      <c r="Q587">
        <v>349</v>
      </c>
      <c r="R587">
        <v>297</v>
      </c>
      <c r="S587">
        <f t="shared" si="84"/>
        <v>260</v>
      </c>
      <c r="T587">
        <v>223</v>
      </c>
      <c r="U587">
        <f t="shared" si="85"/>
        <v>156</v>
      </c>
      <c r="V587">
        <v>88</v>
      </c>
      <c r="W587">
        <v>378</v>
      </c>
      <c r="X587">
        <v>349</v>
      </c>
      <c r="Y587">
        <v>297</v>
      </c>
      <c r="Z587">
        <f t="shared" si="86"/>
        <v>260</v>
      </c>
      <c r="AA587">
        <v>223</v>
      </c>
      <c r="AB587">
        <f t="shared" si="87"/>
        <v>156</v>
      </c>
      <c r="AC587">
        <v>88</v>
      </c>
    </row>
    <row r="588" spans="1:29" x14ac:dyDescent="0.25">
      <c r="A588" t="s">
        <v>595</v>
      </c>
      <c r="B588">
        <v>441</v>
      </c>
      <c r="C588">
        <v>400</v>
      </c>
      <c r="D588">
        <v>336</v>
      </c>
      <c r="E588">
        <f t="shared" si="80"/>
        <v>290</v>
      </c>
      <c r="F588">
        <v>244</v>
      </c>
      <c r="G588">
        <f t="shared" si="81"/>
        <v>167</v>
      </c>
      <c r="H588">
        <v>90</v>
      </c>
      <c r="I588">
        <v>441</v>
      </c>
      <c r="J588">
        <v>400</v>
      </c>
      <c r="K588">
        <v>336</v>
      </c>
      <c r="L588">
        <f t="shared" si="82"/>
        <v>290</v>
      </c>
      <c r="M588">
        <v>244</v>
      </c>
      <c r="N588">
        <f t="shared" si="83"/>
        <v>167</v>
      </c>
      <c r="O588">
        <v>90</v>
      </c>
      <c r="P588">
        <v>330</v>
      </c>
      <c r="Q588">
        <v>306</v>
      </c>
      <c r="R588">
        <v>263</v>
      </c>
      <c r="S588">
        <f t="shared" si="84"/>
        <v>231</v>
      </c>
      <c r="T588">
        <v>199</v>
      </c>
      <c r="U588">
        <f t="shared" si="85"/>
        <v>139</v>
      </c>
      <c r="V588">
        <v>78</v>
      </c>
      <c r="W588">
        <v>330</v>
      </c>
      <c r="X588">
        <v>306</v>
      </c>
      <c r="Y588">
        <v>263</v>
      </c>
      <c r="Z588">
        <f t="shared" si="86"/>
        <v>231</v>
      </c>
      <c r="AA588">
        <v>199</v>
      </c>
      <c r="AB588">
        <f t="shared" si="87"/>
        <v>139</v>
      </c>
      <c r="AC588">
        <v>78</v>
      </c>
    </row>
    <row r="589" spans="1:29" x14ac:dyDescent="0.25">
      <c r="A589" t="s">
        <v>596</v>
      </c>
      <c r="B589">
        <v>607</v>
      </c>
      <c r="C589">
        <v>541</v>
      </c>
      <c r="D589">
        <v>447</v>
      </c>
      <c r="E589">
        <f t="shared" si="80"/>
        <v>382</v>
      </c>
      <c r="F589">
        <v>317</v>
      </c>
      <c r="G589">
        <f t="shared" si="81"/>
        <v>217</v>
      </c>
      <c r="H589">
        <v>117</v>
      </c>
      <c r="I589">
        <v>607</v>
      </c>
      <c r="J589">
        <v>541</v>
      </c>
      <c r="K589">
        <v>447</v>
      </c>
      <c r="L589">
        <f t="shared" si="82"/>
        <v>382</v>
      </c>
      <c r="M589">
        <v>317</v>
      </c>
      <c r="N589">
        <f t="shared" si="83"/>
        <v>217</v>
      </c>
      <c r="O589">
        <v>117</v>
      </c>
      <c r="P589">
        <v>455</v>
      </c>
      <c r="Q589">
        <v>414</v>
      </c>
      <c r="R589">
        <v>350</v>
      </c>
      <c r="S589">
        <f t="shared" si="84"/>
        <v>304</v>
      </c>
      <c r="T589">
        <v>258</v>
      </c>
      <c r="U589">
        <f t="shared" si="85"/>
        <v>180</v>
      </c>
      <c r="V589">
        <v>102</v>
      </c>
      <c r="W589">
        <v>455</v>
      </c>
      <c r="X589">
        <v>414</v>
      </c>
      <c r="Y589">
        <v>350</v>
      </c>
      <c r="Z589">
        <f t="shared" si="86"/>
        <v>304</v>
      </c>
      <c r="AA589">
        <v>258</v>
      </c>
      <c r="AB589">
        <f t="shared" si="87"/>
        <v>180</v>
      </c>
      <c r="AC589">
        <v>102</v>
      </c>
    </row>
    <row r="590" spans="1:29" x14ac:dyDescent="0.25">
      <c r="A590" t="s">
        <v>597</v>
      </c>
      <c r="B590">
        <v>551</v>
      </c>
      <c r="C590">
        <v>495</v>
      </c>
      <c r="D590">
        <v>410</v>
      </c>
      <c r="E590">
        <f t="shared" si="80"/>
        <v>352</v>
      </c>
      <c r="F590">
        <v>293</v>
      </c>
      <c r="G590">
        <f t="shared" si="81"/>
        <v>201</v>
      </c>
      <c r="H590">
        <v>108</v>
      </c>
      <c r="I590">
        <v>551</v>
      </c>
      <c r="J590">
        <v>495</v>
      </c>
      <c r="K590">
        <v>410</v>
      </c>
      <c r="L590">
        <f t="shared" si="82"/>
        <v>352</v>
      </c>
      <c r="M590">
        <v>293</v>
      </c>
      <c r="N590">
        <f t="shared" si="83"/>
        <v>201</v>
      </c>
      <c r="O590">
        <v>108</v>
      </c>
      <c r="P590">
        <v>413</v>
      </c>
      <c r="Q590">
        <v>378</v>
      </c>
      <c r="R590">
        <v>321</v>
      </c>
      <c r="S590">
        <f t="shared" si="84"/>
        <v>280</v>
      </c>
      <c r="T590">
        <v>238</v>
      </c>
      <c r="U590">
        <f t="shared" si="85"/>
        <v>166</v>
      </c>
      <c r="V590">
        <v>94</v>
      </c>
      <c r="W590">
        <v>413</v>
      </c>
      <c r="X590">
        <v>378</v>
      </c>
      <c r="Y590">
        <v>321</v>
      </c>
      <c r="Z590">
        <f t="shared" si="86"/>
        <v>280</v>
      </c>
      <c r="AA590">
        <v>238</v>
      </c>
      <c r="AB590">
        <f t="shared" si="87"/>
        <v>166</v>
      </c>
      <c r="AC590">
        <v>94</v>
      </c>
    </row>
    <row r="591" spans="1:29" x14ac:dyDescent="0.25">
      <c r="A591" t="s">
        <v>598</v>
      </c>
      <c r="B591">
        <v>495</v>
      </c>
      <c r="C591">
        <v>447</v>
      </c>
      <c r="D591">
        <v>372</v>
      </c>
      <c r="E591">
        <f t="shared" si="80"/>
        <v>321</v>
      </c>
      <c r="F591">
        <v>269</v>
      </c>
      <c r="G591">
        <f t="shared" si="81"/>
        <v>185</v>
      </c>
      <c r="H591">
        <v>100</v>
      </c>
      <c r="I591">
        <v>495</v>
      </c>
      <c r="J591">
        <v>447</v>
      </c>
      <c r="K591">
        <v>372</v>
      </c>
      <c r="L591">
        <f t="shared" si="82"/>
        <v>321</v>
      </c>
      <c r="M591">
        <v>269</v>
      </c>
      <c r="N591">
        <f t="shared" si="83"/>
        <v>185</v>
      </c>
      <c r="O591">
        <v>100</v>
      </c>
      <c r="P591">
        <v>371</v>
      </c>
      <c r="Q591">
        <v>342</v>
      </c>
      <c r="R591">
        <v>291</v>
      </c>
      <c r="S591">
        <f t="shared" si="84"/>
        <v>255</v>
      </c>
      <c r="T591">
        <v>219</v>
      </c>
      <c r="U591">
        <f t="shared" si="85"/>
        <v>153</v>
      </c>
      <c r="V591">
        <v>87</v>
      </c>
      <c r="W591">
        <v>371</v>
      </c>
      <c r="X591">
        <v>342</v>
      </c>
      <c r="Y591">
        <v>291</v>
      </c>
      <c r="Z591">
        <f t="shared" si="86"/>
        <v>255</v>
      </c>
      <c r="AA591">
        <v>219</v>
      </c>
      <c r="AB591">
        <f t="shared" si="87"/>
        <v>153</v>
      </c>
      <c r="AC591">
        <v>87</v>
      </c>
    </row>
    <row r="592" spans="1:29" x14ac:dyDescent="0.25">
      <c r="A592" t="s">
        <v>599</v>
      </c>
      <c r="B592">
        <v>435</v>
      </c>
      <c r="C592">
        <v>395</v>
      </c>
      <c r="D592">
        <v>331</v>
      </c>
      <c r="E592">
        <f t="shared" si="80"/>
        <v>287</v>
      </c>
      <c r="F592">
        <v>242</v>
      </c>
      <c r="G592">
        <f t="shared" si="81"/>
        <v>166</v>
      </c>
      <c r="H592">
        <v>90</v>
      </c>
      <c r="I592">
        <v>435</v>
      </c>
      <c r="J592">
        <v>395</v>
      </c>
      <c r="K592">
        <v>331</v>
      </c>
      <c r="L592">
        <f t="shared" si="82"/>
        <v>287</v>
      </c>
      <c r="M592">
        <v>242</v>
      </c>
      <c r="N592">
        <f t="shared" si="83"/>
        <v>166</v>
      </c>
      <c r="O592">
        <v>90</v>
      </c>
      <c r="P592">
        <v>326</v>
      </c>
      <c r="Q592">
        <v>302</v>
      </c>
      <c r="R592">
        <v>259</v>
      </c>
      <c r="S592">
        <f t="shared" si="84"/>
        <v>228</v>
      </c>
      <c r="T592">
        <v>197</v>
      </c>
      <c r="U592">
        <f t="shared" si="85"/>
        <v>138</v>
      </c>
      <c r="V592">
        <v>78</v>
      </c>
      <c r="W592">
        <v>326</v>
      </c>
      <c r="X592">
        <v>302</v>
      </c>
      <c r="Y592">
        <v>259</v>
      </c>
      <c r="Z592">
        <f t="shared" si="86"/>
        <v>228</v>
      </c>
      <c r="AA592">
        <v>197</v>
      </c>
      <c r="AB592">
        <f t="shared" si="87"/>
        <v>138</v>
      </c>
      <c r="AC592">
        <v>78</v>
      </c>
    </row>
    <row r="593" spans="1:29" x14ac:dyDescent="0.25">
      <c r="A593" t="s">
        <v>600</v>
      </c>
      <c r="B593">
        <v>541</v>
      </c>
      <c r="C593">
        <v>485</v>
      </c>
      <c r="D593">
        <v>402</v>
      </c>
      <c r="E593">
        <f t="shared" si="80"/>
        <v>345</v>
      </c>
      <c r="F593">
        <v>287</v>
      </c>
      <c r="G593">
        <f t="shared" si="81"/>
        <v>197</v>
      </c>
      <c r="H593">
        <v>106</v>
      </c>
      <c r="I593">
        <v>541</v>
      </c>
      <c r="J593">
        <v>485</v>
      </c>
      <c r="K593">
        <v>402</v>
      </c>
      <c r="L593">
        <f t="shared" si="82"/>
        <v>345</v>
      </c>
      <c r="M593">
        <v>287</v>
      </c>
      <c r="N593">
        <f t="shared" si="83"/>
        <v>197</v>
      </c>
      <c r="O593">
        <v>106</v>
      </c>
      <c r="P593">
        <v>405</v>
      </c>
      <c r="Q593">
        <v>371</v>
      </c>
      <c r="R593">
        <v>314</v>
      </c>
      <c r="S593">
        <f t="shared" si="84"/>
        <v>274</v>
      </c>
      <c r="T593">
        <v>233</v>
      </c>
      <c r="U593">
        <f t="shared" si="85"/>
        <v>163</v>
      </c>
      <c r="V593">
        <v>92</v>
      </c>
      <c r="W593">
        <v>405</v>
      </c>
      <c r="X593">
        <v>371</v>
      </c>
      <c r="Y593">
        <v>314</v>
      </c>
      <c r="Z593">
        <f t="shared" si="86"/>
        <v>274</v>
      </c>
      <c r="AA593">
        <v>233</v>
      </c>
      <c r="AB593">
        <f t="shared" si="87"/>
        <v>163</v>
      </c>
      <c r="AC593">
        <v>92</v>
      </c>
    </row>
    <row r="594" spans="1:29" x14ac:dyDescent="0.25">
      <c r="A594" t="s">
        <v>601</v>
      </c>
      <c r="B594">
        <v>484</v>
      </c>
      <c r="C594">
        <v>436</v>
      </c>
      <c r="D594">
        <v>364</v>
      </c>
      <c r="E594">
        <f t="shared" si="80"/>
        <v>314</v>
      </c>
      <c r="F594">
        <v>263</v>
      </c>
      <c r="G594">
        <f t="shared" si="81"/>
        <v>180</v>
      </c>
      <c r="H594">
        <v>97</v>
      </c>
      <c r="I594">
        <v>484</v>
      </c>
      <c r="J594">
        <v>436</v>
      </c>
      <c r="K594">
        <v>364</v>
      </c>
      <c r="L594">
        <f t="shared" si="82"/>
        <v>314</v>
      </c>
      <c r="M594">
        <v>263</v>
      </c>
      <c r="N594">
        <f t="shared" si="83"/>
        <v>180</v>
      </c>
      <c r="O594">
        <v>97</v>
      </c>
      <c r="P594">
        <v>363</v>
      </c>
      <c r="Q594">
        <v>334</v>
      </c>
      <c r="R594">
        <v>285</v>
      </c>
      <c r="S594">
        <f t="shared" si="84"/>
        <v>250</v>
      </c>
      <c r="T594">
        <v>214</v>
      </c>
      <c r="U594">
        <f t="shared" si="85"/>
        <v>150</v>
      </c>
      <c r="V594">
        <v>85</v>
      </c>
      <c r="W594">
        <v>363</v>
      </c>
      <c r="X594">
        <v>334</v>
      </c>
      <c r="Y594">
        <v>285</v>
      </c>
      <c r="Z594">
        <f t="shared" si="86"/>
        <v>250</v>
      </c>
      <c r="AA594">
        <v>214</v>
      </c>
      <c r="AB594">
        <f t="shared" si="87"/>
        <v>150</v>
      </c>
      <c r="AC594">
        <v>85</v>
      </c>
    </row>
    <row r="595" spans="1:29" x14ac:dyDescent="0.25">
      <c r="A595" t="s">
        <v>602</v>
      </c>
      <c r="B595">
        <v>426</v>
      </c>
      <c r="C595">
        <v>386</v>
      </c>
      <c r="D595">
        <v>325</v>
      </c>
      <c r="E595">
        <f t="shared" si="80"/>
        <v>281</v>
      </c>
      <c r="F595">
        <v>237</v>
      </c>
      <c r="G595">
        <f t="shared" si="81"/>
        <v>163</v>
      </c>
      <c r="H595">
        <v>89</v>
      </c>
      <c r="I595">
        <v>426</v>
      </c>
      <c r="J595">
        <v>386</v>
      </c>
      <c r="K595">
        <v>325</v>
      </c>
      <c r="L595">
        <f t="shared" si="82"/>
        <v>281</v>
      </c>
      <c r="M595">
        <v>237</v>
      </c>
      <c r="N595">
        <f t="shared" si="83"/>
        <v>163</v>
      </c>
      <c r="O595">
        <v>89</v>
      </c>
      <c r="P595">
        <v>319</v>
      </c>
      <c r="Q595">
        <v>295</v>
      </c>
      <c r="R595">
        <v>254</v>
      </c>
      <c r="S595">
        <f t="shared" si="84"/>
        <v>224</v>
      </c>
      <c r="T595">
        <v>193</v>
      </c>
      <c r="U595">
        <f t="shared" si="85"/>
        <v>136</v>
      </c>
      <c r="V595">
        <v>78</v>
      </c>
      <c r="W595">
        <v>319</v>
      </c>
      <c r="X595">
        <v>295</v>
      </c>
      <c r="Y595">
        <v>254</v>
      </c>
      <c r="Z595">
        <f t="shared" si="86"/>
        <v>224</v>
      </c>
      <c r="AA595">
        <v>193</v>
      </c>
      <c r="AB595">
        <f t="shared" si="87"/>
        <v>136</v>
      </c>
      <c r="AC595">
        <v>78</v>
      </c>
    </row>
    <row r="596" spans="1:29" x14ac:dyDescent="0.25">
      <c r="A596" t="s">
        <v>603</v>
      </c>
      <c r="B596">
        <v>473</v>
      </c>
      <c r="C596">
        <v>426</v>
      </c>
      <c r="D596">
        <v>354</v>
      </c>
      <c r="E596">
        <f t="shared" si="80"/>
        <v>305</v>
      </c>
      <c r="F596">
        <v>256</v>
      </c>
      <c r="G596">
        <f t="shared" si="81"/>
        <v>176</v>
      </c>
      <c r="H596">
        <v>95</v>
      </c>
      <c r="I596">
        <v>473</v>
      </c>
      <c r="J596">
        <v>426</v>
      </c>
      <c r="K596">
        <v>354</v>
      </c>
      <c r="L596">
        <f t="shared" si="82"/>
        <v>305</v>
      </c>
      <c r="M596">
        <v>256</v>
      </c>
      <c r="N596">
        <f t="shared" si="83"/>
        <v>176</v>
      </c>
      <c r="O596">
        <v>95</v>
      </c>
      <c r="P596">
        <v>355</v>
      </c>
      <c r="Q596">
        <v>326</v>
      </c>
      <c r="R596">
        <v>277</v>
      </c>
      <c r="S596">
        <f t="shared" si="84"/>
        <v>243</v>
      </c>
      <c r="T596">
        <v>208</v>
      </c>
      <c r="U596">
        <f t="shared" si="85"/>
        <v>146</v>
      </c>
      <c r="V596">
        <v>83</v>
      </c>
      <c r="W596">
        <v>355</v>
      </c>
      <c r="X596">
        <v>326</v>
      </c>
      <c r="Y596">
        <v>277</v>
      </c>
      <c r="Z596">
        <f t="shared" si="86"/>
        <v>243</v>
      </c>
      <c r="AA596">
        <v>208</v>
      </c>
      <c r="AB596">
        <f t="shared" si="87"/>
        <v>146</v>
      </c>
      <c r="AC596">
        <v>83</v>
      </c>
    </row>
    <row r="597" spans="1:29" x14ac:dyDescent="0.25">
      <c r="A597" t="s">
        <v>604</v>
      </c>
      <c r="B597">
        <v>415</v>
      </c>
      <c r="C597">
        <v>376</v>
      </c>
      <c r="D597">
        <v>315</v>
      </c>
      <c r="E597">
        <f t="shared" si="80"/>
        <v>273</v>
      </c>
      <c r="F597">
        <v>231</v>
      </c>
      <c r="G597">
        <f t="shared" si="81"/>
        <v>159</v>
      </c>
      <c r="H597">
        <v>87</v>
      </c>
      <c r="I597">
        <v>415</v>
      </c>
      <c r="J597">
        <v>376</v>
      </c>
      <c r="K597">
        <v>315</v>
      </c>
      <c r="L597">
        <f t="shared" si="82"/>
        <v>273</v>
      </c>
      <c r="M597">
        <v>231</v>
      </c>
      <c r="N597">
        <f t="shared" si="83"/>
        <v>159</v>
      </c>
      <c r="O597">
        <v>87</v>
      </c>
      <c r="P597">
        <v>311</v>
      </c>
      <c r="Q597">
        <v>288</v>
      </c>
      <c r="R597">
        <v>247</v>
      </c>
      <c r="S597">
        <f t="shared" si="84"/>
        <v>217</v>
      </c>
      <c r="T597">
        <v>187</v>
      </c>
      <c r="U597">
        <f t="shared" si="85"/>
        <v>131</v>
      </c>
      <c r="V597">
        <v>75</v>
      </c>
      <c r="W597">
        <v>311</v>
      </c>
      <c r="X597">
        <v>288</v>
      </c>
      <c r="Y597">
        <v>247</v>
      </c>
      <c r="Z597">
        <f t="shared" si="86"/>
        <v>217</v>
      </c>
      <c r="AA597">
        <v>187</v>
      </c>
      <c r="AB597">
        <f t="shared" si="87"/>
        <v>131</v>
      </c>
      <c r="AC597">
        <v>75</v>
      </c>
    </row>
    <row r="598" spans="1:29" x14ac:dyDescent="0.25">
      <c r="A598" t="s">
        <v>605</v>
      </c>
      <c r="B598">
        <v>404</v>
      </c>
      <c r="C598">
        <v>365</v>
      </c>
      <c r="D598">
        <v>305</v>
      </c>
      <c r="E598">
        <f t="shared" si="80"/>
        <v>264</v>
      </c>
      <c r="F598">
        <v>223</v>
      </c>
      <c r="G598">
        <f t="shared" si="81"/>
        <v>154</v>
      </c>
      <c r="H598">
        <v>84</v>
      </c>
      <c r="I598">
        <v>404</v>
      </c>
      <c r="J598">
        <v>365</v>
      </c>
      <c r="K598">
        <v>305</v>
      </c>
      <c r="L598">
        <f t="shared" si="82"/>
        <v>264</v>
      </c>
      <c r="M598">
        <v>223</v>
      </c>
      <c r="N598">
        <f t="shared" si="83"/>
        <v>154</v>
      </c>
      <c r="O598">
        <v>84</v>
      </c>
      <c r="P598">
        <v>303</v>
      </c>
      <c r="Q598">
        <v>279</v>
      </c>
      <c r="R598">
        <v>239</v>
      </c>
      <c r="S598">
        <f t="shared" si="84"/>
        <v>210</v>
      </c>
      <c r="T598">
        <v>181</v>
      </c>
      <c r="U598">
        <f t="shared" si="85"/>
        <v>127</v>
      </c>
      <c r="V598">
        <v>73</v>
      </c>
      <c r="W598">
        <v>303</v>
      </c>
      <c r="X598">
        <v>279</v>
      </c>
      <c r="Y598">
        <v>239</v>
      </c>
      <c r="Z598">
        <f t="shared" si="86"/>
        <v>210</v>
      </c>
      <c r="AA598">
        <v>181</v>
      </c>
      <c r="AB598">
        <f t="shared" si="87"/>
        <v>127</v>
      </c>
      <c r="AC598">
        <v>73</v>
      </c>
    </row>
    <row r="599" spans="1:29" x14ac:dyDescent="0.25">
      <c r="A599" t="s">
        <v>606</v>
      </c>
      <c r="B599">
        <v>2211</v>
      </c>
      <c r="C599">
        <v>1911</v>
      </c>
      <c r="D599">
        <v>1540</v>
      </c>
      <c r="E599">
        <f t="shared" si="80"/>
        <v>1316</v>
      </c>
      <c r="F599">
        <v>1091</v>
      </c>
      <c r="G599">
        <f t="shared" si="81"/>
        <v>761</v>
      </c>
      <c r="H599">
        <v>431</v>
      </c>
      <c r="I599">
        <v>1347</v>
      </c>
      <c r="J599">
        <v>1159</v>
      </c>
      <c r="K599">
        <v>930</v>
      </c>
      <c r="L599">
        <f t="shared" si="82"/>
        <v>793</v>
      </c>
      <c r="M599">
        <v>656</v>
      </c>
      <c r="N599">
        <f t="shared" si="83"/>
        <v>458</v>
      </c>
      <c r="O599">
        <v>259</v>
      </c>
      <c r="P599">
        <v>1657</v>
      </c>
      <c r="Q599">
        <v>1462</v>
      </c>
      <c r="R599">
        <v>1205</v>
      </c>
      <c r="S599">
        <f t="shared" si="84"/>
        <v>1046</v>
      </c>
      <c r="T599">
        <v>886</v>
      </c>
      <c r="U599">
        <f t="shared" si="85"/>
        <v>631</v>
      </c>
      <c r="V599">
        <v>376</v>
      </c>
      <c r="W599">
        <v>1010</v>
      </c>
      <c r="X599">
        <v>887</v>
      </c>
      <c r="Y599">
        <v>728</v>
      </c>
      <c r="Z599">
        <f t="shared" si="86"/>
        <v>631</v>
      </c>
      <c r="AA599">
        <v>533</v>
      </c>
      <c r="AB599">
        <f t="shared" si="87"/>
        <v>380</v>
      </c>
      <c r="AC599">
        <v>226</v>
      </c>
    </row>
    <row r="600" spans="1:29" x14ac:dyDescent="0.25">
      <c r="A600" t="s">
        <v>607</v>
      </c>
      <c r="B600">
        <v>2104</v>
      </c>
      <c r="C600">
        <v>1824</v>
      </c>
      <c r="D600">
        <v>1472</v>
      </c>
      <c r="E600">
        <f t="shared" si="80"/>
        <v>1258</v>
      </c>
      <c r="F600">
        <v>1044</v>
      </c>
      <c r="G600">
        <f t="shared" si="81"/>
        <v>729</v>
      </c>
      <c r="H600">
        <v>413</v>
      </c>
      <c r="I600">
        <v>1299</v>
      </c>
      <c r="J600">
        <v>1120</v>
      </c>
      <c r="K600">
        <v>899</v>
      </c>
      <c r="L600">
        <f t="shared" si="82"/>
        <v>767</v>
      </c>
      <c r="M600">
        <v>634</v>
      </c>
      <c r="N600">
        <f t="shared" si="83"/>
        <v>442</v>
      </c>
      <c r="O600">
        <v>249</v>
      </c>
      <c r="P600">
        <v>1577</v>
      </c>
      <c r="Q600">
        <v>1396</v>
      </c>
      <c r="R600">
        <v>1152</v>
      </c>
      <c r="S600">
        <f t="shared" si="84"/>
        <v>1000</v>
      </c>
      <c r="T600">
        <v>848</v>
      </c>
      <c r="U600">
        <f t="shared" si="85"/>
        <v>604</v>
      </c>
      <c r="V600">
        <v>360</v>
      </c>
      <c r="W600">
        <v>974</v>
      </c>
      <c r="X600">
        <v>857</v>
      </c>
      <c r="Y600">
        <v>704</v>
      </c>
      <c r="Z600">
        <f t="shared" si="86"/>
        <v>610</v>
      </c>
      <c r="AA600">
        <v>515</v>
      </c>
      <c r="AB600">
        <f t="shared" si="87"/>
        <v>366</v>
      </c>
      <c r="AC600">
        <v>217</v>
      </c>
    </row>
    <row r="601" spans="1:29" x14ac:dyDescent="0.25">
      <c r="A601" t="s">
        <v>608</v>
      </c>
      <c r="B601">
        <v>1995</v>
      </c>
      <c r="C601">
        <v>1736</v>
      </c>
      <c r="D601">
        <v>1404</v>
      </c>
      <c r="E601">
        <f t="shared" si="80"/>
        <v>1200</v>
      </c>
      <c r="F601">
        <v>995</v>
      </c>
      <c r="G601">
        <f t="shared" si="81"/>
        <v>694</v>
      </c>
      <c r="H601">
        <v>393</v>
      </c>
      <c r="I601">
        <v>1253</v>
      </c>
      <c r="J601">
        <v>1082</v>
      </c>
      <c r="K601">
        <v>869</v>
      </c>
      <c r="L601">
        <f t="shared" si="82"/>
        <v>741</v>
      </c>
      <c r="M601">
        <v>612</v>
      </c>
      <c r="N601">
        <f t="shared" si="83"/>
        <v>426</v>
      </c>
      <c r="O601">
        <v>240</v>
      </c>
      <c r="P601">
        <v>1495</v>
      </c>
      <c r="Q601">
        <v>1328</v>
      </c>
      <c r="R601">
        <v>1099</v>
      </c>
      <c r="S601">
        <f t="shared" si="84"/>
        <v>954</v>
      </c>
      <c r="T601">
        <v>809</v>
      </c>
      <c r="U601">
        <f t="shared" si="85"/>
        <v>576</v>
      </c>
      <c r="V601">
        <v>342</v>
      </c>
      <c r="W601">
        <v>939</v>
      </c>
      <c r="X601">
        <v>827</v>
      </c>
      <c r="Y601">
        <v>680</v>
      </c>
      <c r="Z601">
        <f t="shared" si="86"/>
        <v>589</v>
      </c>
      <c r="AA601">
        <v>497</v>
      </c>
      <c r="AB601">
        <f t="shared" si="87"/>
        <v>353</v>
      </c>
      <c r="AC601">
        <v>209</v>
      </c>
    </row>
    <row r="602" spans="1:29" x14ac:dyDescent="0.25">
      <c r="A602" t="s">
        <v>609</v>
      </c>
      <c r="B602">
        <v>1883</v>
      </c>
      <c r="C602">
        <v>1644</v>
      </c>
      <c r="D602">
        <v>1334</v>
      </c>
      <c r="E602">
        <f t="shared" si="80"/>
        <v>1141</v>
      </c>
      <c r="F602">
        <v>947</v>
      </c>
      <c r="G602">
        <f t="shared" si="81"/>
        <v>659</v>
      </c>
      <c r="H602">
        <v>371</v>
      </c>
      <c r="I602">
        <v>1207</v>
      </c>
      <c r="J602">
        <v>1042</v>
      </c>
      <c r="K602">
        <v>839</v>
      </c>
      <c r="L602">
        <f t="shared" si="82"/>
        <v>715</v>
      </c>
      <c r="M602">
        <v>591</v>
      </c>
      <c r="N602">
        <f t="shared" si="83"/>
        <v>411</v>
      </c>
      <c r="O602">
        <v>230</v>
      </c>
      <c r="P602">
        <v>1412</v>
      </c>
      <c r="Q602">
        <v>1258</v>
      </c>
      <c r="R602">
        <v>1044</v>
      </c>
      <c r="S602">
        <f t="shared" si="84"/>
        <v>907</v>
      </c>
      <c r="T602">
        <v>769</v>
      </c>
      <c r="U602">
        <f t="shared" si="85"/>
        <v>546</v>
      </c>
      <c r="V602">
        <v>323</v>
      </c>
      <c r="W602">
        <v>905</v>
      </c>
      <c r="X602">
        <v>798</v>
      </c>
      <c r="Y602">
        <v>656</v>
      </c>
      <c r="Z602">
        <f t="shared" si="86"/>
        <v>568</v>
      </c>
      <c r="AA602">
        <v>480</v>
      </c>
      <c r="AB602">
        <f t="shared" si="87"/>
        <v>340</v>
      </c>
      <c r="AC602">
        <v>200</v>
      </c>
    </row>
    <row r="603" spans="1:29" x14ac:dyDescent="0.25">
      <c r="A603" t="s">
        <v>610</v>
      </c>
      <c r="B603">
        <v>1768</v>
      </c>
      <c r="C603">
        <v>1548</v>
      </c>
      <c r="D603">
        <v>1261</v>
      </c>
      <c r="E603">
        <f t="shared" si="80"/>
        <v>1078</v>
      </c>
      <c r="F603">
        <v>895</v>
      </c>
      <c r="G603">
        <f t="shared" si="81"/>
        <v>623</v>
      </c>
      <c r="H603">
        <v>350</v>
      </c>
      <c r="I603">
        <v>1161</v>
      </c>
      <c r="J603">
        <v>1005</v>
      </c>
      <c r="K603">
        <v>809</v>
      </c>
      <c r="L603">
        <f t="shared" si="82"/>
        <v>689</v>
      </c>
      <c r="M603">
        <v>568</v>
      </c>
      <c r="N603">
        <f t="shared" si="83"/>
        <v>394</v>
      </c>
      <c r="O603">
        <v>220</v>
      </c>
      <c r="P603">
        <v>1325</v>
      </c>
      <c r="Q603">
        <v>1185</v>
      </c>
      <c r="R603">
        <v>987</v>
      </c>
      <c r="S603">
        <f t="shared" si="84"/>
        <v>857</v>
      </c>
      <c r="T603">
        <v>727</v>
      </c>
      <c r="U603">
        <f t="shared" si="85"/>
        <v>516</v>
      </c>
      <c r="V603">
        <v>305</v>
      </c>
      <c r="W603">
        <v>870</v>
      </c>
      <c r="X603">
        <v>769</v>
      </c>
      <c r="Y603">
        <v>634</v>
      </c>
      <c r="Z603">
        <f t="shared" si="86"/>
        <v>548</v>
      </c>
      <c r="AA603">
        <v>461</v>
      </c>
      <c r="AB603">
        <f t="shared" si="87"/>
        <v>327</v>
      </c>
      <c r="AC603">
        <v>192</v>
      </c>
    </row>
    <row r="604" spans="1:29" x14ac:dyDescent="0.25">
      <c r="A604" t="s">
        <v>611</v>
      </c>
      <c r="B604">
        <v>1647</v>
      </c>
      <c r="C604">
        <v>1448</v>
      </c>
      <c r="D604">
        <v>1183</v>
      </c>
      <c r="E604">
        <f t="shared" si="80"/>
        <v>1012</v>
      </c>
      <c r="F604">
        <v>841</v>
      </c>
      <c r="G604">
        <f t="shared" si="81"/>
        <v>585</v>
      </c>
      <c r="H604">
        <v>329</v>
      </c>
      <c r="I604">
        <v>1113</v>
      </c>
      <c r="J604">
        <v>966</v>
      </c>
      <c r="K604">
        <v>779</v>
      </c>
      <c r="L604">
        <f t="shared" si="82"/>
        <v>663</v>
      </c>
      <c r="M604">
        <v>546</v>
      </c>
      <c r="N604">
        <f t="shared" si="83"/>
        <v>379</v>
      </c>
      <c r="O604">
        <v>211</v>
      </c>
      <c r="P604">
        <v>1235</v>
      </c>
      <c r="Q604">
        <v>1108</v>
      </c>
      <c r="R604">
        <v>926</v>
      </c>
      <c r="S604">
        <f t="shared" si="84"/>
        <v>805</v>
      </c>
      <c r="T604">
        <v>683</v>
      </c>
      <c r="U604">
        <f t="shared" si="85"/>
        <v>485</v>
      </c>
      <c r="V604">
        <v>286</v>
      </c>
      <c r="W604">
        <v>834</v>
      </c>
      <c r="X604">
        <v>739</v>
      </c>
      <c r="Y604">
        <v>610</v>
      </c>
      <c r="Z604">
        <f t="shared" si="86"/>
        <v>527</v>
      </c>
      <c r="AA604">
        <v>444</v>
      </c>
      <c r="AB604">
        <f t="shared" si="87"/>
        <v>314</v>
      </c>
      <c r="AC604">
        <v>183</v>
      </c>
    </row>
    <row r="605" spans="1:29" x14ac:dyDescent="0.25">
      <c r="A605" t="s">
        <v>612</v>
      </c>
      <c r="B605">
        <v>1518</v>
      </c>
      <c r="C605">
        <v>1340</v>
      </c>
      <c r="D605">
        <v>1099</v>
      </c>
      <c r="E605">
        <f t="shared" si="80"/>
        <v>941</v>
      </c>
      <c r="F605">
        <v>782</v>
      </c>
      <c r="G605">
        <f t="shared" si="81"/>
        <v>543</v>
      </c>
      <c r="H605">
        <v>304</v>
      </c>
      <c r="I605">
        <v>1065</v>
      </c>
      <c r="J605">
        <v>925</v>
      </c>
      <c r="K605">
        <v>747</v>
      </c>
      <c r="L605">
        <f t="shared" si="82"/>
        <v>636</v>
      </c>
      <c r="M605">
        <v>524</v>
      </c>
      <c r="N605">
        <f t="shared" si="83"/>
        <v>362</v>
      </c>
      <c r="O605">
        <v>200</v>
      </c>
      <c r="P605">
        <v>1138</v>
      </c>
      <c r="Q605">
        <v>1026</v>
      </c>
      <c r="R605">
        <v>860</v>
      </c>
      <c r="S605">
        <f t="shared" si="84"/>
        <v>748</v>
      </c>
      <c r="T605">
        <v>635</v>
      </c>
      <c r="U605">
        <f t="shared" si="85"/>
        <v>450</v>
      </c>
      <c r="V605">
        <v>265</v>
      </c>
      <c r="W605">
        <v>799</v>
      </c>
      <c r="X605">
        <v>708</v>
      </c>
      <c r="Y605">
        <v>585</v>
      </c>
      <c r="Z605">
        <f t="shared" si="86"/>
        <v>505</v>
      </c>
      <c r="AA605">
        <v>425</v>
      </c>
      <c r="AB605">
        <f t="shared" si="87"/>
        <v>300</v>
      </c>
      <c r="AC605">
        <v>174</v>
      </c>
    </row>
    <row r="606" spans="1:29" x14ac:dyDescent="0.25">
      <c r="A606" t="s">
        <v>613</v>
      </c>
      <c r="B606">
        <v>2104</v>
      </c>
      <c r="C606">
        <v>1822</v>
      </c>
      <c r="D606">
        <v>1469</v>
      </c>
      <c r="E606">
        <f t="shared" si="80"/>
        <v>1254</v>
      </c>
      <c r="F606">
        <v>1038</v>
      </c>
      <c r="G606">
        <f t="shared" si="81"/>
        <v>724</v>
      </c>
      <c r="H606">
        <v>409</v>
      </c>
      <c r="I606">
        <v>1299</v>
      </c>
      <c r="J606">
        <v>1119</v>
      </c>
      <c r="K606">
        <v>897</v>
      </c>
      <c r="L606">
        <f t="shared" si="82"/>
        <v>765</v>
      </c>
      <c r="M606">
        <v>632</v>
      </c>
      <c r="N606">
        <f t="shared" si="83"/>
        <v>440</v>
      </c>
      <c r="O606">
        <v>247</v>
      </c>
      <c r="P606">
        <v>1577</v>
      </c>
      <c r="Q606">
        <v>1394</v>
      </c>
      <c r="R606">
        <v>1150</v>
      </c>
      <c r="S606">
        <f t="shared" si="84"/>
        <v>997</v>
      </c>
      <c r="T606">
        <v>843</v>
      </c>
      <c r="U606">
        <f t="shared" si="85"/>
        <v>600</v>
      </c>
      <c r="V606">
        <v>356</v>
      </c>
      <c r="W606">
        <v>974</v>
      </c>
      <c r="X606">
        <v>856</v>
      </c>
      <c r="Y606">
        <v>702</v>
      </c>
      <c r="Z606">
        <f t="shared" si="86"/>
        <v>608</v>
      </c>
      <c r="AA606">
        <v>513</v>
      </c>
      <c r="AB606">
        <f t="shared" si="87"/>
        <v>364</v>
      </c>
      <c r="AC606">
        <v>215</v>
      </c>
    </row>
    <row r="607" spans="1:29" x14ac:dyDescent="0.25">
      <c r="A607" t="s">
        <v>614</v>
      </c>
      <c r="B607">
        <v>1994</v>
      </c>
      <c r="C607">
        <v>1732</v>
      </c>
      <c r="D607">
        <v>1400</v>
      </c>
      <c r="E607">
        <f t="shared" si="80"/>
        <v>1195</v>
      </c>
      <c r="F607">
        <v>990</v>
      </c>
      <c r="G607">
        <f t="shared" si="81"/>
        <v>690</v>
      </c>
      <c r="H607">
        <v>389</v>
      </c>
      <c r="I607">
        <v>1252</v>
      </c>
      <c r="J607">
        <v>1080</v>
      </c>
      <c r="K607">
        <v>867</v>
      </c>
      <c r="L607">
        <f t="shared" si="82"/>
        <v>738</v>
      </c>
      <c r="M607">
        <v>609</v>
      </c>
      <c r="N607">
        <f t="shared" si="83"/>
        <v>424</v>
      </c>
      <c r="O607">
        <v>238</v>
      </c>
      <c r="P607">
        <v>1495</v>
      </c>
      <c r="Q607">
        <v>1325</v>
      </c>
      <c r="R607">
        <v>1096</v>
      </c>
      <c r="S607">
        <f t="shared" si="84"/>
        <v>950</v>
      </c>
      <c r="T607">
        <v>804</v>
      </c>
      <c r="U607">
        <f t="shared" si="85"/>
        <v>572</v>
      </c>
      <c r="V607">
        <v>339</v>
      </c>
      <c r="W607">
        <v>939</v>
      </c>
      <c r="X607">
        <v>826</v>
      </c>
      <c r="Y607">
        <v>679</v>
      </c>
      <c r="Z607">
        <f t="shared" si="86"/>
        <v>587</v>
      </c>
      <c r="AA607">
        <v>495</v>
      </c>
      <c r="AB607">
        <f t="shared" si="87"/>
        <v>351</v>
      </c>
      <c r="AC607">
        <v>207</v>
      </c>
    </row>
    <row r="608" spans="1:29" x14ac:dyDescent="0.25">
      <c r="A608" t="s">
        <v>615</v>
      </c>
      <c r="B608">
        <v>1881</v>
      </c>
      <c r="C608">
        <v>1639</v>
      </c>
      <c r="D608">
        <v>1328</v>
      </c>
      <c r="E608">
        <f t="shared" si="80"/>
        <v>1135</v>
      </c>
      <c r="F608">
        <v>942</v>
      </c>
      <c r="G608">
        <f t="shared" si="81"/>
        <v>655</v>
      </c>
      <c r="H608">
        <v>368</v>
      </c>
      <c r="I608">
        <v>1206</v>
      </c>
      <c r="J608">
        <v>1042</v>
      </c>
      <c r="K608">
        <v>837</v>
      </c>
      <c r="L608">
        <f t="shared" si="82"/>
        <v>713</v>
      </c>
      <c r="M608">
        <v>588</v>
      </c>
      <c r="N608">
        <f t="shared" si="83"/>
        <v>408</v>
      </c>
      <c r="O608">
        <v>228</v>
      </c>
      <c r="P608">
        <v>1410</v>
      </c>
      <c r="Q608">
        <v>1254</v>
      </c>
      <c r="R608">
        <v>1039</v>
      </c>
      <c r="S608">
        <f t="shared" si="84"/>
        <v>902</v>
      </c>
      <c r="T608">
        <v>765</v>
      </c>
      <c r="U608">
        <f t="shared" si="85"/>
        <v>543</v>
      </c>
      <c r="V608">
        <v>320</v>
      </c>
      <c r="W608">
        <v>904</v>
      </c>
      <c r="X608">
        <v>797</v>
      </c>
      <c r="Y608">
        <v>655</v>
      </c>
      <c r="Z608">
        <f t="shared" si="86"/>
        <v>567</v>
      </c>
      <c r="AA608">
        <v>478</v>
      </c>
      <c r="AB608">
        <f t="shared" si="87"/>
        <v>338</v>
      </c>
      <c r="AC608">
        <v>198</v>
      </c>
    </row>
    <row r="609" spans="1:29" x14ac:dyDescent="0.25">
      <c r="A609" t="s">
        <v>616</v>
      </c>
      <c r="B609">
        <v>1764</v>
      </c>
      <c r="C609">
        <v>1543</v>
      </c>
      <c r="D609">
        <v>1255</v>
      </c>
      <c r="E609">
        <f t="shared" si="80"/>
        <v>1073</v>
      </c>
      <c r="F609">
        <v>890</v>
      </c>
      <c r="G609">
        <f t="shared" si="81"/>
        <v>619</v>
      </c>
      <c r="H609">
        <v>348</v>
      </c>
      <c r="I609">
        <v>1158</v>
      </c>
      <c r="J609">
        <v>1003</v>
      </c>
      <c r="K609">
        <v>807</v>
      </c>
      <c r="L609">
        <f t="shared" si="82"/>
        <v>687</v>
      </c>
      <c r="M609">
        <v>567</v>
      </c>
      <c r="N609">
        <f t="shared" si="83"/>
        <v>393</v>
      </c>
      <c r="O609">
        <v>219</v>
      </c>
      <c r="P609">
        <v>1322</v>
      </c>
      <c r="Q609">
        <v>1181</v>
      </c>
      <c r="R609">
        <v>982</v>
      </c>
      <c r="S609">
        <f t="shared" si="84"/>
        <v>853</v>
      </c>
      <c r="T609">
        <v>723</v>
      </c>
      <c r="U609">
        <f t="shared" si="85"/>
        <v>513</v>
      </c>
      <c r="V609">
        <v>303</v>
      </c>
      <c r="W609">
        <v>868</v>
      </c>
      <c r="X609">
        <v>768</v>
      </c>
      <c r="Y609">
        <v>631</v>
      </c>
      <c r="Z609">
        <f t="shared" si="86"/>
        <v>546</v>
      </c>
      <c r="AA609">
        <v>460</v>
      </c>
      <c r="AB609">
        <f t="shared" si="87"/>
        <v>326</v>
      </c>
      <c r="AC609">
        <v>191</v>
      </c>
    </row>
    <row r="610" spans="1:29" x14ac:dyDescent="0.25">
      <c r="A610" t="s">
        <v>617</v>
      </c>
      <c r="B610">
        <v>1642</v>
      </c>
      <c r="C610">
        <v>1443</v>
      </c>
      <c r="D610">
        <v>1178</v>
      </c>
      <c r="E610">
        <f t="shared" si="80"/>
        <v>1008</v>
      </c>
      <c r="F610">
        <v>837</v>
      </c>
      <c r="G610">
        <f t="shared" si="81"/>
        <v>581</v>
      </c>
      <c r="H610">
        <v>325</v>
      </c>
      <c r="I610">
        <v>1112</v>
      </c>
      <c r="J610">
        <v>964</v>
      </c>
      <c r="K610">
        <v>776</v>
      </c>
      <c r="L610">
        <f t="shared" si="82"/>
        <v>661</v>
      </c>
      <c r="M610">
        <v>545</v>
      </c>
      <c r="N610">
        <f t="shared" si="83"/>
        <v>377</v>
      </c>
      <c r="O610">
        <v>209</v>
      </c>
      <c r="P610">
        <v>1231</v>
      </c>
      <c r="Q610">
        <v>1104</v>
      </c>
      <c r="R610">
        <v>922</v>
      </c>
      <c r="S610">
        <f t="shared" si="84"/>
        <v>801</v>
      </c>
      <c r="T610">
        <v>680</v>
      </c>
      <c r="U610">
        <f t="shared" si="85"/>
        <v>482</v>
      </c>
      <c r="V610">
        <v>283</v>
      </c>
      <c r="W610">
        <v>834</v>
      </c>
      <c r="X610">
        <v>738</v>
      </c>
      <c r="Y610">
        <v>608</v>
      </c>
      <c r="Z610">
        <f t="shared" si="86"/>
        <v>526</v>
      </c>
      <c r="AA610">
        <v>443</v>
      </c>
      <c r="AB610">
        <f t="shared" si="87"/>
        <v>313</v>
      </c>
      <c r="AC610">
        <v>182</v>
      </c>
    </row>
    <row r="611" spans="1:29" x14ac:dyDescent="0.25">
      <c r="A611" t="s">
        <v>618</v>
      </c>
      <c r="B611">
        <v>1516</v>
      </c>
      <c r="C611">
        <v>1337</v>
      </c>
      <c r="D611">
        <v>1095</v>
      </c>
      <c r="E611">
        <f t="shared" si="80"/>
        <v>938</v>
      </c>
      <c r="F611">
        <v>780</v>
      </c>
      <c r="G611">
        <f t="shared" si="81"/>
        <v>541</v>
      </c>
      <c r="H611">
        <v>302</v>
      </c>
      <c r="I611">
        <v>1064</v>
      </c>
      <c r="J611">
        <v>924</v>
      </c>
      <c r="K611">
        <v>746</v>
      </c>
      <c r="L611">
        <f t="shared" si="82"/>
        <v>635</v>
      </c>
      <c r="M611">
        <v>523</v>
      </c>
      <c r="N611">
        <f t="shared" si="83"/>
        <v>362</v>
      </c>
      <c r="O611">
        <v>200</v>
      </c>
      <c r="P611">
        <v>1136</v>
      </c>
      <c r="Q611">
        <v>1023</v>
      </c>
      <c r="R611">
        <v>857</v>
      </c>
      <c r="S611">
        <f t="shared" si="84"/>
        <v>745</v>
      </c>
      <c r="T611">
        <v>633</v>
      </c>
      <c r="U611">
        <f t="shared" si="85"/>
        <v>448</v>
      </c>
      <c r="V611">
        <v>263</v>
      </c>
      <c r="W611">
        <v>798</v>
      </c>
      <c r="X611">
        <v>707</v>
      </c>
      <c r="Y611">
        <v>584</v>
      </c>
      <c r="Z611">
        <f t="shared" si="86"/>
        <v>504</v>
      </c>
      <c r="AA611">
        <v>424</v>
      </c>
      <c r="AB611">
        <f t="shared" si="87"/>
        <v>299</v>
      </c>
      <c r="AC611">
        <v>174</v>
      </c>
    </row>
    <row r="612" spans="1:29" x14ac:dyDescent="0.25">
      <c r="A612" t="s">
        <v>619</v>
      </c>
      <c r="B612">
        <v>1378</v>
      </c>
      <c r="C612">
        <v>1221</v>
      </c>
      <c r="D612">
        <v>1004</v>
      </c>
      <c r="E612">
        <f t="shared" si="80"/>
        <v>860</v>
      </c>
      <c r="F612">
        <v>716</v>
      </c>
      <c r="G612">
        <f t="shared" si="81"/>
        <v>496</v>
      </c>
      <c r="H612">
        <v>276</v>
      </c>
      <c r="I612">
        <v>1015</v>
      </c>
      <c r="J612">
        <v>884</v>
      </c>
      <c r="K612">
        <v>713</v>
      </c>
      <c r="L612">
        <f t="shared" si="82"/>
        <v>606</v>
      </c>
      <c r="M612">
        <v>499</v>
      </c>
      <c r="N612">
        <f t="shared" si="83"/>
        <v>344</v>
      </c>
      <c r="O612">
        <v>189</v>
      </c>
      <c r="P612">
        <v>1033</v>
      </c>
      <c r="Q612">
        <v>934</v>
      </c>
      <c r="R612">
        <v>786</v>
      </c>
      <c r="S612">
        <f t="shared" si="84"/>
        <v>684</v>
      </c>
      <c r="T612">
        <v>581</v>
      </c>
      <c r="U612">
        <f t="shared" si="85"/>
        <v>411</v>
      </c>
      <c r="V612">
        <v>241</v>
      </c>
      <c r="W612">
        <v>761</v>
      </c>
      <c r="X612">
        <v>676</v>
      </c>
      <c r="Y612">
        <v>558</v>
      </c>
      <c r="Z612">
        <f t="shared" si="86"/>
        <v>482</v>
      </c>
      <c r="AA612">
        <v>405</v>
      </c>
      <c r="AB612">
        <f t="shared" si="87"/>
        <v>285</v>
      </c>
      <c r="AC612">
        <v>165</v>
      </c>
    </row>
    <row r="613" spans="1:29" x14ac:dyDescent="0.25">
      <c r="A613" t="s">
        <v>620</v>
      </c>
      <c r="B613">
        <v>1993</v>
      </c>
      <c r="C613">
        <v>1729</v>
      </c>
      <c r="D613">
        <v>1395</v>
      </c>
      <c r="E613">
        <f t="shared" si="80"/>
        <v>1190</v>
      </c>
      <c r="F613">
        <v>985</v>
      </c>
      <c r="G613">
        <f t="shared" si="81"/>
        <v>685</v>
      </c>
      <c r="H613">
        <v>385</v>
      </c>
      <c r="I613">
        <v>1252</v>
      </c>
      <c r="J613">
        <v>1079</v>
      </c>
      <c r="K613">
        <v>865</v>
      </c>
      <c r="L613">
        <f t="shared" si="82"/>
        <v>736</v>
      </c>
      <c r="M613">
        <v>607</v>
      </c>
      <c r="N613">
        <f t="shared" si="83"/>
        <v>422</v>
      </c>
      <c r="O613">
        <v>236</v>
      </c>
      <c r="P613">
        <v>1494</v>
      </c>
      <c r="Q613">
        <v>1323</v>
      </c>
      <c r="R613">
        <v>1092</v>
      </c>
      <c r="S613">
        <f t="shared" si="84"/>
        <v>947</v>
      </c>
      <c r="T613">
        <v>801</v>
      </c>
      <c r="U613">
        <f t="shared" si="85"/>
        <v>569</v>
      </c>
      <c r="V613">
        <v>336</v>
      </c>
      <c r="W613">
        <v>939</v>
      </c>
      <c r="X613">
        <v>826</v>
      </c>
      <c r="Y613">
        <v>677</v>
      </c>
      <c r="Z613">
        <f t="shared" si="86"/>
        <v>585</v>
      </c>
      <c r="AA613">
        <v>493</v>
      </c>
      <c r="AB613">
        <f t="shared" si="87"/>
        <v>350</v>
      </c>
      <c r="AC613">
        <v>206</v>
      </c>
    </row>
    <row r="614" spans="1:29" x14ac:dyDescent="0.25">
      <c r="A614" t="s">
        <v>621</v>
      </c>
      <c r="B614">
        <v>1877</v>
      </c>
      <c r="C614">
        <v>1634</v>
      </c>
      <c r="D614">
        <v>1323</v>
      </c>
      <c r="E614">
        <f t="shared" si="80"/>
        <v>1129</v>
      </c>
      <c r="F614">
        <v>935</v>
      </c>
      <c r="G614">
        <f t="shared" si="81"/>
        <v>650</v>
      </c>
      <c r="H614">
        <v>365</v>
      </c>
      <c r="I614">
        <v>1204</v>
      </c>
      <c r="J614">
        <v>1040</v>
      </c>
      <c r="K614">
        <v>835</v>
      </c>
      <c r="L614">
        <f t="shared" si="82"/>
        <v>710</v>
      </c>
      <c r="M614">
        <v>585</v>
      </c>
      <c r="N614">
        <f t="shared" si="83"/>
        <v>406</v>
      </c>
      <c r="O614">
        <v>227</v>
      </c>
      <c r="P614">
        <v>1407</v>
      </c>
      <c r="Q614">
        <v>1250</v>
      </c>
      <c r="R614">
        <v>1036</v>
      </c>
      <c r="S614">
        <f t="shared" si="84"/>
        <v>898</v>
      </c>
      <c r="T614">
        <v>760</v>
      </c>
      <c r="U614">
        <f t="shared" si="85"/>
        <v>539</v>
      </c>
      <c r="V614">
        <v>318</v>
      </c>
      <c r="W614">
        <v>903</v>
      </c>
      <c r="X614">
        <v>796</v>
      </c>
      <c r="Y614">
        <v>654</v>
      </c>
      <c r="Z614">
        <f t="shared" si="86"/>
        <v>565</v>
      </c>
      <c r="AA614">
        <v>476</v>
      </c>
      <c r="AB614">
        <f t="shared" si="87"/>
        <v>337</v>
      </c>
      <c r="AC614">
        <v>197</v>
      </c>
    </row>
    <row r="615" spans="1:29" x14ac:dyDescent="0.25">
      <c r="A615" t="s">
        <v>622</v>
      </c>
      <c r="B615">
        <v>1759</v>
      </c>
      <c r="C615">
        <v>1537</v>
      </c>
      <c r="D615">
        <v>1249</v>
      </c>
      <c r="E615">
        <f t="shared" si="80"/>
        <v>1067</v>
      </c>
      <c r="F615">
        <v>884</v>
      </c>
      <c r="G615">
        <f t="shared" si="81"/>
        <v>614</v>
      </c>
      <c r="H615">
        <v>344</v>
      </c>
      <c r="I615">
        <v>1157</v>
      </c>
      <c r="J615">
        <v>1000</v>
      </c>
      <c r="K615">
        <v>805</v>
      </c>
      <c r="L615">
        <f t="shared" si="82"/>
        <v>685</v>
      </c>
      <c r="M615">
        <v>564</v>
      </c>
      <c r="N615">
        <f t="shared" si="83"/>
        <v>391</v>
      </c>
      <c r="O615">
        <v>217</v>
      </c>
      <c r="P615">
        <v>1318</v>
      </c>
      <c r="Q615">
        <v>1176</v>
      </c>
      <c r="R615">
        <v>978</v>
      </c>
      <c r="S615">
        <f t="shared" si="84"/>
        <v>848</v>
      </c>
      <c r="T615">
        <v>718</v>
      </c>
      <c r="U615">
        <f t="shared" si="85"/>
        <v>509</v>
      </c>
      <c r="V615">
        <v>299</v>
      </c>
      <c r="W615">
        <v>867</v>
      </c>
      <c r="X615">
        <v>765</v>
      </c>
      <c r="Y615">
        <v>630</v>
      </c>
      <c r="Z615">
        <f t="shared" si="86"/>
        <v>544</v>
      </c>
      <c r="AA615">
        <v>458</v>
      </c>
      <c r="AB615">
        <f t="shared" si="87"/>
        <v>324</v>
      </c>
      <c r="AC615">
        <v>189</v>
      </c>
    </row>
    <row r="616" spans="1:29" x14ac:dyDescent="0.25">
      <c r="A616" t="s">
        <v>623</v>
      </c>
      <c r="B616">
        <v>1637</v>
      </c>
      <c r="C616">
        <v>1437</v>
      </c>
      <c r="D616">
        <v>1172</v>
      </c>
      <c r="E616">
        <f t="shared" si="80"/>
        <v>1002</v>
      </c>
      <c r="F616">
        <v>831</v>
      </c>
      <c r="G616">
        <f t="shared" si="81"/>
        <v>577</v>
      </c>
      <c r="H616">
        <v>323</v>
      </c>
      <c r="I616">
        <v>1110</v>
      </c>
      <c r="J616">
        <v>962</v>
      </c>
      <c r="K616">
        <v>774</v>
      </c>
      <c r="L616">
        <f t="shared" si="82"/>
        <v>659</v>
      </c>
      <c r="M616">
        <v>543</v>
      </c>
      <c r="N616">
        <f t="shared" si="83"/>
        <v>376</v>
      </c>
      <c r="O616">
        <v>208</v>
      </c>
      <c r="P616">
        <v>1227</v>
      </c>
      <c r="Q616">
        <v>1099</v>
      </c>
      <c r="R616">
        <v>917</v>
      </c>
      <c r="S616">
        <f t="shared" si="84"/>
        <v>796</v>
      </c>
      <c r="T616">
        <v>675</v>
      </c>
      <c r="U616">
        <f t="shared" si="85"/>
        <v>478</v>
      </c>
      <c r="V616">
        <v>281</v>
      </c>
      <c r="W616">
        <v>832</v>
      </c>
      <c r="X616">
        <v>736</v>
      </c>
      <c r="Y616">
        <v>606</v>
      </c>
      <c r="Z616">
        <f t="shared" si="86"/>
        <v>524</v>
      </c>
      <c r="AA616">
        <v>441</v>
      </c>
      <c r="AB616">
        <f t="shared" si="87"/>
        <v>311</v>
      </c>
      <c r="AC616">
        <v>181</v>
      </c>
    </row>
    <row r="617" spans="1:29" x14ac:dyDescent="0.25">
      <c r="A617" t="s">
        <v>624</v>
      </c>
      <c r="B617">
        <v>1510</v>
      </c>
      <c r="C617">
        <v>1331</v>
      </c>
      <c r="D617">
        <v>1089</v>
      </c>
      <c r="E617">
        <f t="shared" si="80"/>
        <v>932</v>
      </c>
      <c r="F617">
        <v>775</v>
      </c>
      <c r="G617">
        <f t="shared" si="81"/>
        <v>538</v>
      </c>
      <c r="H617">
        <v>300</v>
      </c>
      <c r="I617">
        <v>1063</v>
      </c>
      <c r="J617">
        <v>923</v>
      </c>
      <c r="K617">
        <v>743</v>
      </c>
      <c r="L617">
        <f t="shared" si="82"/>
        <v>633</v>
      </c>
      <c r="M617">
        <v>522</v>
      </c>
      <c r="N617">
        <f t="shared" si="83"/>
        <v>361</v>
      </c>
      <c r="O617">
        <v>199</v>
      </c>
      <c r="P617">
        <v>1132</v>
      </c>
      <c r="Q617">
        <v>1018</v>
      </c>
      <c r="R617">
        <v>853</v>
      </c>
      <c r="S617">
        <f t="shared" si="84"/>
        <v>741</v>
      </c>
      <c r="T617">
        <v>629</v>
      </c>
      <c r="U617">
        <f t="shared" si="85"/>
        <v>446</v>
      </c>
      <c r="V617">
        <v>262</v>
      </c>
      <c r="W617">
        <v>797</v>
      </c>
      <c r="X617">
        <v>706</v>
      </c>
      <c r="Y617">
        <v>582</v>
      </c>
      <c r="Z617">
        <f t="shared" si="86"/>
        <v>503</v>
      </c>
      <c r="AA617">
        <v>423</v>
      </c>
      <c r="AB617">
        <f t="shared" si="87"/>
        <v>298</v>
      </c>
      <c r="AC617">
        <v>173</v>
      </c>
    </row>
    <row r="618" spans="1:29" x14ac:dyDescent="0.25">
      <c r="A618" t="s">
        <v>625</v>
      </c>
      <c r="B618">
        <v>1375</v>
      </c>
      <c r="C618">
        <v>1217</v>
      </c>
      <c r="D618">
        <v>1000</v>
      </c>
      <c r="E618">
        <f t="shared" si="80"/>
        <v>856</v>
      </c>
      <c r="F618">
        <v>712</v>
      </c>
      <c r="G618">
        <f t="shared" si="81"/>
        <v>494</v>
      </c>
      <c r="H618">
        <v>275</v>
      </c>
      <c r="I618">
        <v>1013</v>
      </c>
      <c r="J618">
        <v>882</v>
      </c>
      <c r="K618">
        <v>712</v>
      </c>
      <c r="L618">
        <f t="shared" si="82"/>
        <v>605</v>
      </c>
      <c r="M618">
        <v>498</v>
      </c>
      <c r="N618">
        <f t="shared" si="83"/>
        <v>343</v>
      </c>
      <c r="O618">
        <v>188</v>
      </c>
      <c r="P618">
        <v>1031</v>
      </c>
      <c r="Q618">
        <v>931</v>
      </c>
      <c r="R618">
        <v>783</v>
      </c>
      <c r="S618">
        <f t="shared" si="84"/>
        <v>681</v>
      </c>
      <c r="T618">
        <v>578</v>
      </c>
      <c r="U618">
        <f t="shared" si="85"/>
        <v>409</v>
      </c>
      <c r="V618">
        <v>239</v>
      </c>
      <c r="W618">
        <v>760</v>
      </c>
      <c r="X618">
        <v>675</v>
      </c>
      <c r="Y618">
        <v>557</v>
      </c>
      <c r="Z618">
        <f t="shared" si="86"/>
        <v>481</v>
      </c>
      <c r="AA618">
        <v>404</v>
      </c>
      <c r="AB618">
        <f t="shared" si="87"/>
        <v>284</v>
      </c>
      <c r="AC618">
        <v>164</v>
      </c>
    </row>
    <row r="619" spans="1:29" x14ac:dyDescent="0.25">
      <c r="A619" t="s">
        <v>626</v>
      </c>
      <c r="B619">
        <v>1230</v>
      </c>
      <c r="C619">
        <v>1093</v>
      </c>
      <c r="D619">
        <v>902</v>
      </c>
      <c r="E619">
        <f t="shared" si="80"/>
        <v>773</v>
      </c>
      <c r="F619">
        <v>644</v>
      </c>
      <c r="G619">
        <f t="shared" si="81"/>
        <v>446</v>
      </c>
      <c r="H619">
        <v>248</v>
      </c>
      <c r="I619">
        <v>964</v>
      </c>
      <c r="J619">
        <v>840</v>
      </c>
      <c r="K619">
        <v>679</v>
      </c>
      <c r="L619">
        <f t="shared" si="82"/>
        <v>577</v>
      </c>
      <c r="M619">
        <v>474</v>
      </c>
      <c r="N619">
        <f t="shared" si="83"/>
        <v>327</v>
      </c>
      <c r="O619">
        <v>180</v>
      </c>
      <c r="P619">
        <v>922</v>
      </c>
      <c r="Q619">
        <v>836</v>
      </c>
      <c r="R619">
        <v>706</v>
      </c>
      <c r="S619">
        <f t="shared" si="84"/>
        <v>615</v>
      </c>
      <c r="T619">
        <v>524</v>
      </c>
      <c r="U619">
        <f t="shared" si="85"/>
        <v>370</v>
      </c>
      <c r="V619">
        <v>216</v>
      </c>
      <c r="W619">
        <v>722</v>
      </c>
      <c r="X619">
        <v>642</v>
      </c>
      <c r="Y619">
        <v>532</v>
      </c>
      <c r="Z619">
        <f t="shared" si="86"/>
        <v>459</v>
      </c>
      <c r="AA619">
        <v>385</v>
      </c>
      <c r="AB619">
        <f t="shared" si="87"/>
        <v>271</v>
      </c>
      <c r="AC619">
        <v>157</v>
      </c>
    </row>
    <row r="620" spans="1:29" x14ac:dyDescent="0.25">
      <c r="A620" t="s">
        <v>627</v>
      </c>
      <c r="B620">
        <v>1875</v>
      </c>
      <c r="C620">
        <v>1631</v>
      </c>
      <c r="D620">
        <v>1318</v>
      </c>
      <c r="E620">
        <f t="shared" si="80"/>
        <v>1124</v>
      </c>
      <c r="F620">
        <v>929</v>
      </c>
      <c r="G620">
        <f t="shared" si="81"/>
        <v>645</v>
      </c>
      <c r="H620">
        <v>361</v>
      </c>
      <c r="I620">
        <v>1203</v>
      </c>
      <c r="J620">
        <v>1038</v>
      </c>
      <c r="K620">
        <v>832</v>
      </c>
      <c r="L620">
        <f t="shared" si="82"/>
        <v>708</v>
      </c>
      <c r="M620">
        <v>583</v>
      </c>
      <c r="N620">
        <f t="shared" si="83"/>
        <v>404</v>
      </c>
      <c r="O620">
        <v>225</v>
      </c>
      <c r="P620">
        <v>1406</v>
      </c>
      <c r="Q620">
        <v>1248</v>
      </c>
      <c r="R620">
        <v>1032</v>
      </c>
      <c r="S620">
        <f t="shared" si="84"/>
        <v>894</v>
      </c>
      <c r="T620">
        <v>755</v>
      </c>
      <c r="U620">
        <f t="shared" si="85"/>
        <v>535</v>
      </c>
      <c r="V620">
        <v>315</v>
      </c>
      <c r="W620">
        <v>902</v>
      </c>
      <c r="X620">
        <v>794</v>
      </c>
      <c r="Y620">
        <v>652</v>
      </c>
      <c r="Z620">
        <f t="shared" si="86"/>
        <v>563</v>
      </c>
      <c r="AA620">
        <v>474</v>
      </c>
      <c r="AB620">
        <f t="shared" si="87"/>
        <v>335</v>
      </c>
      <c r="AC620">
        <v>196</v>
      </c>
    </row>
    <row r="621" spans="1:29" x14ac:dyDescent="0.25">
      <c r="A621" t="s">
        <v>628</v>
      </c>
      <c r="B621">
        <v>1755</v>
      </c>
      <c r="C621">
        <v>1532</v>
      </c>
      <c r="D621">
        <v>1242</v>
      </c>
      <c r="E621">
        <f t="shared" si="80"/>
        <v>1060</v>
      </c>
      <c r="F621">
        <v>878</v>
      </c>
      <c r="G621">
        <f t="shared" si="81"/>
        <v>609</v>
      </c>
      <c r="H621">
        <v>340</v>
      </c>
      <c r="I621">
        <v>1155</v>
      </c>
      <c r="J621">
        <v>999</v>
      </c>
      <c r="K621">
        <v>802</v>
      </c>
      <c r="L621">
        <f t="shared" si="82"/>
        <v>682</v>
      </c>
      <c r="M621">
        <v>562</v>
      </c>
      <c r="N621">
        <f t="shared" si="83"/>
        <v>389</v>
      </c>
      <c r="O621">
        <v>215</v>
      </c>
      <c r="P621">
        <v>1316</v>
      </c>
      <c r="Q621">
        <v>1172</v>
      </c>
      <c r="R621">
        <v>973</v>
      </c>
      <c r="S621">
        <f t="shared" si="84"/>
        <v>843</v>
      </c>
      <c r="T621">
        <v>713</v>
      </c>
      <c r="U621">
        <f t="shared" si="85"/>
        <v>505</v>
      </c>
      <c r="V621">
        <v>296</v>
      </c>
      <c r="W621">
        <v>866</v>
      </c>
      <c r="X621">
        <v>764</v>
      </c>
      <c r="Y621">
        <v>628</v>
      </c>
      <c r="Z621">
        <f t="shared" si="86"/>
        <v>542</v>
      </c>
      <c r="AA621">
        <v>456</v>
      </c>
      <c r="AB621">
        <f t="shared" si="87"/>
        <v>322</v>
      </c>
      <c r="AC621">
        <v>187</v>
      </c>
    </row>
    <row r="622" spans="1:29" x14ac:dyDescent="0.25">
      <c r="A622" t="s">
        <v>629</v>
      </c>
      <c r="B622">
        <v>1631</v>
      </c>
      <c r="C622">
        <v>1430</v>
      </c>
      <c r="D622">
        <v>1165</v>
      </c>
      <c r="E622">
        <f t="shared" si="80"/>
        <v>995</v>
      </c>
      <c r="F622">
        <v>825</v>
      </c>
      <c r="G622">
        <f t="shared" si="81"/>
        <v>573</v>
      </c>
      <c r="H622">
        <v>320</v>
      </c>
      <c r="I622">
        <v>1107</v>
      </c>
      <c r="J622">
        <v>959</v>
      </c>
      <c r="K622">
        <v>772</v>
      </c>
      <c r="L622">
        <f t="shared" si="82"/>
        <v>656</v>
      </c>
      <c r="M622">
        <v>540</v>
      </c>
      <c r="N622">
        <f t="shared" si="83"/>
        <v>374</v>
      </c>
      <c r="O622">
        <v>207</v>
      </c>
      <c r="P622">
        <v>1223</v>
      </c>
      <c r="Q622">
        <v>1094</v>
      </c>
      <c r="R622">
        <v>912</v>
      </c>
      <c r="S622">
        <f t="shared" si="84"/>
        <v>791</v>
      </c>
      <c r="T622">
        <v>670</v>
      </c>
      <c r="U622">
        <f t="shared" si="85"/>
        <v>474</v>
      </c>
      <c r="V622">
        <v>278</v>
      </c>
      <c r="W622">
        <v>830</v>
      </c>
      <c r="X622">
        <v>734</v>
      </c>
      <c r="Y622">
        <v>604</v>
      </c>
      <c r="Z622">
        <f t="shared" si="86"/>
        <v>522</v>
      </c>
      <c r="AA622">
        <v>439</v>
      </c>
      <c r="AB622">
        <f t="shared" si="87"/>
        <v>310</v>
      </c>
      <c r="AC622">
        <v>180</v>
      </c>
    </row>
    <row r="623" spans="1:29" x14ac:dyDescent="0.25">
      <c r="A623" t="s">
        <v>630</v>
      </c>
      <c r="B623">
        <v>1504</v>
      </c>
      <c r="C623">
        <v>1324</v>
      </c>
      <c r="D623">
        <v>1083</v>
      </c>
      <c r="E623">
        <f t="shared" si="80"/>
        <v>926</v>
      </c>
      <c r="F623">
        <v>769</v>
      </c>
      <c r="G623">
        <f t="shared" si="81"/>
        <v>533</v>
      </c>
      <c r="H623">
        <v>297</v>
      </c>
      <c r="I623">
        <v>1060</v>
      </c>
      <c r="J623">
        <v>921</v>
      </c>
      <c r="K623">
        <v>741</v>
      </c>
      <c r="L623">
        <f t="shared" si="82"/>
        <v>630</v>
      </c>
      <c r="M623">
        <v>519</v>
      </c>
      <c r="N623">
        <f t="shared" si="83"/>
        <v>358</v>
      </c>
      <c r="O623">
        <v>197</v>
      </c>
      <c r="P623">
        <v>1128</v>
      </c>
      <c r="Q623">
        <v>1013</v>
      </c>
      <c r="R623">
        <v>848</v>
      </c>
      <c r="S623">
        <f t="shared" si="84"/>
        <v>736</v>
      </c>
      <c r="T623">
        <v>624</v>
      </c>
      <c r="U623">
        <f t="shared" si="85"/>
        <v>442</v>
      </c>
      <c r="V623">
        <v>259</v>
      </c>
      <c r="W623">
        <v>795</v>
      </c>
      <c r="X623">
        <v>704</v>
      </c>
      <c r="Y623">
        <v>580</v>
      </c>
      <c r="Z623">
        <f t="shared" si="86"/>
        <v>501</v>
      </c>
      <c r="AA623">
        <v>421</v>
      </c>
      <c r="AB623">
        <f t="shared" si="87"/>
        <v>297</v>
      </c>
      <c r="AC623">
        <v>172</v>
      </c>
    </row>
    <row r="624" spans="1:29" x14ac:dyDescent="0.25">
      <c r="A624" t="s">
        <v>631</v>
      </c>
      <c r="B624">
        <v>1371</v>
      </c>
      <c r="C624">
        <v>1212</v>
      </c>
      <c r="D624">
        <v>996</v>
      </c>
      <c r="E624">
        <f t="shared" si="80"/>
        <v>853</v>
      </c>
      <c r="F624">
        <v>710</v>
      </c>
      <c r="G624">
        <f t="shared" si="81"/>
        <v>492</v>
      </c>
      <c r="H624">
        <v>273</v>
      </c>
      <c r="I624">
        <v>1013</v>
      </c>
      <c r="J624">
        <v>879</v>
      </c>
      <c r="K624">
        <v>710</v>
      </c>
      <c r="L624">
        <f t="shared" si="82"/>
        <v>604</v>
      </c>
      <c r="M624">
        <v>497</v>
      </c>
      <c r="N624">
        <f t="shared" si="83"/>
        <v>343</v>
      </c>
      <c r="O624">
        <v>188</v>
      </c>
      <c r="P624">
        <v>1028</v>
      </c>
      <c r="Q624">
        <v>928</v>
      </c>
      <c r="R624">
        <v>780</v>
      </c>
      <c r="S624">
        <f t="shared" si="84"/>
        <v>678</v>
      </c>
      <c r="T624">
        <v>576</v>
      </c>
      <c r="U624">
        <f t="shared" si="85"/>
        <v>407</v>
      </c>
      <c r="V624">
        <v>238</v>
      </c>
      <c r="W624">
        <v>759</v>
      </c>
      <c r="X624">
        <v>673</v>
      </c>
      <c r="Y624">
        <v>556</v>
      </c>
      <c r="Z624">
        <f t="shared" si="86"/>
        <v>480</v>
      </c>
      <c r="AA624">
        <v>403</v>
      </c>
      <c r="AB624">
        <f t="shared" si="87"/>
        <v>284</v>
      </c>
      <c r="AC624">
        <v>164</v>
      </c>
    </row>
    <row r="625" spans="1:29" x14ac:dyDescent="0.25">
      <c r="A625" t="s">
        <v>632</v>
      </c>
      <c r="B625">
        <v>1225</v>
      </c>
      <c r="C625">
        <v>1089</v>
      </c>
      <c r="D625">
        <v>898</v>
      </c>
      <c r="E625">
        <f t="shared" si="80"/>
        <v>770</v>
      </c>
      <c r="F625">
        <v>642</v>
      </c>
      <c r="G625">
        <f t="shared" si="81"/>
        <v>444</v>
      </c>
      <c r="H625">
        <v>246</v>
      </c>
      <c r="I625">
        <v>962</v>
      </c>
      <c r="J625">
        <v>838</v>
      </c>
      <c r="K625">
        <v>678</v>
      </c>
      <c r="L625">
        <f t="shared" si="82"/>
        <v>576</v>
      </c>
      <c r="M625">
        <v>474</v>
      </c>
      <c r="N625">
        <f t="shared" si="83"/>
        <v>326</v>
      </c>
      <c r="O625">
        <v>177</v>
      </c>
      <c r="P625">
        <v>918</v>
      </c>
      <c r="Q625">
        <v>834</v>
      </c>
      <c r="R625">
        <v>703</v>
      </c>
      <c r="S625">
        <f t="shared" si="84"/>
        <v>612</v>
      </c>
      <c r="T625">
        <v>521</v>
      </c>
      <c r="U625">
        <f t="shared" si="85"/>
        <v>368</v>
      </c>
      <c r="V625">
        <v>215</v>
      </c>
      <c r="W625">
        <v>721</v>
      </c>
      <c r="X625">
        <v>642</v>
      </c>
      <c r="Y625">
        <v>531</v>
      </c>
      <c r="Z625">
        <f t="shared" si="86"/>
        <v>458</v>
      </c>
      <c r="AA625">
        <v>385</v>
      </c>
      <c r="AB625">
        <f t="shared" si="87"/>
        <v>270</v>
      </c>
      <c r="AC625">
        <v>155</v>
      </c>
    </row>
    <row r="626" spans="1:29" x14ac:dyDescent="0.25">
      <c r="A626" t="s">
        <v>633</v>
      </c>
      <c r="B626">
        <v>1080</v>
      </c>
      <c r="C626">
        <v>956</v>
      </c>
      <c r="D626">
        <v>793</v>
      </c>
      <c r="E626">
        <f t="shared" si="80"/>
        <v>681</v>
      </c>
      <c r="F626">
        <v>568</v>
      </c>
      <c r="G626">
        <f t="shared" si="81"/>
        <v>392</v>
      </c>
      <c r="H626">
        <v>216</v>
      </c>
      <c r="I626">
        <v>918</v>
      </c>
      <c r="J626">
        <v>794</v>
      </c>
      <c r="K626">
        <v>643</v>
      </c>
      <c r="L626">
        <f t="shared" si="82"/>
        <v>546</v>
      </c>
      <c r="M626">
        <v>449</v>
      </c>
      <c r="N626">
        <f t="shared" si="83"/>
        <v>309</v>
      </c>
      <c r="O626">
        <v>168</v>
      </c>
      <c r="P626">
        <v>810</v>
      </c>
      <c r="Q626">
        <v>731</v>
      </c>
      <c r="R626">
        <v>621</v>
      </c>
      <c r="S626">
        <f t="shared" si="84"/>
        <v>541</v>
      </c>
      <c r="T626">
        <v>461</v>
      </c>
      <c r="U626">
        <f t="shared" si="85"/>
        <v>325</v>
      </c>
      <c r="V626">
        <v>188</v>
      </c>
      <c r="W626">
        <v>688</v>
      </c>
      <c r="X626">
        <v>607</v>
      </c>
      <c r="Y626">
        <v>504</v>
      </c>
      <c r="Z626">
        <f t="shared" si="86"/>
        <v>434</v>
      </c>
      <c r="AA626">
        <v>364</v>
      </c>
      <c r="AB626">
        <f t="shared" si="87"/>
        <v>256</v>
      </c>
      <c r="AC626">
        <v>147</v>
      </c>
    </row>
    <row r="627" spans="1:29" x14ac:dyDescent="0.25">
      <c r="A627" t="s">
        <v>634</v>
      </c>
      <c r="B627">
        <v>1752</v>
      </c>
      <c r="C627">
        <v>1527</v>
      </c>
      <c r="D627">
        <v>1237</v>
      </c>
      <c r="E627">
        <f t="shared" si="80"/>
        <v>1054</v>
      </c>
      <c r="F627">
        <v>871</v>
      </c>
      <c r="G627">
        <f t="shared" si="81"/>
        <v>604</v>
      </c>
      <c r="H627">
        <v>336</v>
      </c>
      <c r="I627">
        <v>1153</v>
      </c>
      <c r="J627">
        <v>997</v>
      </c>
      <c r="K627">
        <v>800</v>
      </c>
      <c r="L627">
        <f t="shared" si="82"/>
        <v>680</v>
      </c>
      <c r="M627">
        <v>559</v>
      </c>
      <c r="N627">
        <f t="shared" si="83"/>
        <v>387</v>
      </c>
      <c r="O627">
        <v>214</v>
      </c>
      <c r="P627">
        <v>1313</v>
      </c>
      <c r="Q627">
        <v>1168</v>
      </c>
      <c r="R627">
        <v>968</v>
      </c>
      <c r="S627">
        <f t="shared" si="84"/>
        <v>838</v>
      </c>
      <c r="T627">
        <v>708</v>
      </c>
      <c r="U627">
        <f t="shared" si="85"/>
        <v>501</v>
      </c>
      <c r="V627">
        <v>293</v>
      </c>
      <c r="W627">
        <v>864</v>
      </c>
      <c r="X627">
        <v>763</v>
      </c>
      <c r="Y627">
        <v>626</v>
      </c>
      <c r="Z627">
        <f t="shared" si="86"/>
        <v>540</v>
      </c>
      <c r="AA627">
        <v>454</v>
      </c>
      <c r="AB627">
        <f t="shared" si="87"/>
        <v>320</v>
      </c>
      <c r="AC627">
        <v>186</v>
      </c>
    </row>
    <row r="628" spans="1:29" x14ac:dyDescent="0.25">
      <c r="A628" t="s">
        <v>635</v>
      </c>
      <c r="B628">
        <v>1626</v>
      </c>
      <c r="C628">
        <v>1423</v>
      </c>
      <c r="D628">
        <v>1158</v>
      </c>
      <c r="E628">
        <f t="shared" si="80"/>
        <v>989</v>
      </c>
      <c r="F628">
        <v>819</v>
      </c>
      <c r="G628">
        <f t="shared" si="81"/>
        <v>567</v>
      </c>
      <c r="H628">
        <v>315</v>
      </c>
      <c r="I628">
        <v>1106</v>
      </c>
      <c r="J628">
        <v>957</v>
      </c>
      <c r="K628">
        <v>770</v>
      </c>
      <c r="L628">
        <f t="shared" si="82"/>
        <v>654</v>
      </c>
      <c r="M628">
        <v>538</v>
      </c>
      <c r="N628">
        <f t="shared" si="83"/>
        <v>371</v>
      </c>
      <c r="O628">
        <v>204</v>
      </c>
      <c r="P628">
        <v>1219</v>
      </c>
      <c r="Q628">
        <v>1089</v>
      </c>
      <c r="R628">
        <v>906</v>
      </c>
      <c r="S628">
        <f t="shared" si="84"/>
        <v>786</v>
      </c>
      <c r="T628">
        <v>665</v>
      </c>
      <c r="U628">
        <f t="shared" si="85"/>
        <v>470</v>
      </c>
      <c r="V628">
        <v>275</v>
      </c>
      <c r="W628">
        <v>829</v>
      </c>
      <c r="X628">
        <v>732</v>
      </c>
      <c r="Y628">
        <v>602</v>
      </c>
      <c r="Z628">
        <f t="shared" si="86"/>
        <v>520</v>
      </c>
      <c r="AA628">
        <v>437</v>
      </c>
      <c r="AB628">
        <f t="shared" si="87"/>
        <v>308</v>
      </c>
      <c r="AC628">
        <v>178</v>
      </c>
    </row>
    <row r="629" spans="1:29" x14ac:dyDescent="0.25">
      <c r="A629" t="s">
        <v>636</v>
      </c>
      <c r="B629">
        <v>1498</v>
      </c>
      <c r="C629">
        <v>1317</v>
      </c>
      <c r="D629">
        <v>1076</v>
      </c>
      <c r="E629">
        <f t="shared" si="80"/>
        <v>919</v>
      </c>
      <c r="F629">
        <v>762</v>
      </c>
      <c r="G629">
        <f t="shared" si="81"/>
        <v>528</v>
      </c>
      <c r="H629">
        <v>294</v>
      </c>
      <c r="I629">
        <v>1059</v>
      </c>
      <c r="J629">
        <v>918</v>
      </c>
      <c r="K629">
        <v>739</v>
      </c>
      <c r="L629">
        <f t="shared" si="82"/>
        <v>628</v>
      </c>
      <c r="M629">
        <v>516</v>
      </c>
      <c r="N629">
        <f t="shared" si="83"/>
        <v>357</v>
      </c>
      <c r="O629">
        <v>197</v>
      </c>
      <c r="P629">
        <v>1123</v>
      </c>
      <c r="Q629">
        <v>1008</v>
      </c>
      <c r="R629">
        <v>842</v>
      </c>
      <c r="S629">
        <f t="shared" si="84"/>
        <v>731</v>
      </c>
      <c r="T629">
        <v>619</v>
      </c>
      <c r="U629">
        <f t="shared" si="85"/>
        <v>438</v>
      </c>
      <c r="V629">
        <v>256</v>
      </c>
      <c r="W629">
        <v>794</v>
      </c>
      <c r="X629">
        <v>703</v>
      </c>
      <c r="Y629">
        <v>578</v>
      </c>
      <c r="Z629">
        <f t="shared" si="86"/>
        <v>499</v>
      </c>
      <c r="AA629">
        <v>419</v>
      </c>
      <c r="AB629">
        <f t="shared" si="87"/>
        <v>295</v>
      </c>
      <c r="AC629">
        <v>171</v>
      </c>
    </row>
    <row r="630" spans="1:29" x14ac:dyDescent="0.25">
      <c r="A630" t="s">
        <v>637</v>
      </c>
      <c r="B630">
        <v>1364</v>
      </c>
      <c r="C630">
        <v>1205</v>
      </c>
      <c r="D630">
        <v>988</v>
      </c>
      <c r="E630">
        <f t="shared" si="80"/>
        <v>846</v>
      </c>
      <c r="F630">
        <v>703</v>
      </c>
      <c r="G630">
        <f t="shared" si="81"/>
        <v>487</v>
      </c>
      <c r="H630">
        <v>270</v>
      </c>
      <c r="I630">
        <v>1010</v>
      </c>
      <c r="J630">
        <v>878</v>
      </c>
      <c r="K630">
        <v>708</v>
      </c>
      <c r="L630">
        <f t="shared" si="82"/>
        <v>602</v>
      </c>
      <c r="M630">
        <v>495</v>
      </c>
      <c r="N630">
        <f t="shared" si="83"/>
        <v>341</v>
      </c>
      <c r="O630">
        <v>187</v>
      </c>
      <c r="P630">
        <v>1023</v>
      </c>
      <c r="Q630">
        <v>922</v>
      </c>
      <c r="R630">
        <v>774</v>
      </c>
      <c r="S630">
        <f t="shared" si="84"/>
        <v>673</v>
      </c>
      <c r="T630">
        <v>571</v>
      </c>
      <c r="U630">
        <f t="shared" si="85"/>
        <v>404</v>
      </c>
      <c r="V630">
        <v>236</v>
      </c>
      <c r="W630">
        <v>758</v>
      </c>
      <c r="X630">
        <v>672</v>
      </c>
      <c r="Y630">
        <v>555</v>
      </c>
      <c r="Z630">
        <f t="shared" si="86"/>
        <v>479</v>
      </c>
      <c r="AA630">
        <v>402</v>
      </c>
      <c r="AB630">
        <f t="shared" si="87"/>
        <v>283</v>
      </c>
      <c r="AC630">
        <v>163</v>
      </c>
    </row>
    <row r="631" spans="1:29" x14ac:dyDescent="0.25">
      <c r="A631" t="s">
        <v>638</v>
      </c>
      <c r="B631">
        <v>1222</v>
      </c>
      <c r="C631">
        <v>1085</v>
      </c>
      <c r="D631">
        <v>895</v>
      </c>
      <c r="E631">
        <f t="shared" si="80"/>
        <v>767</v>
      </c>
      <c r="F631">
        <v>638</v>
      </c>
      <c r="G631">
        <f t="shared" si="81"/>
        <v>442</v>
      </c>
      <c r="H631">
        <v>245</v>
      </c>
      <c r="I631">
        <v>961</v>
      </c>
      <c r="J631">
        <v>838</v>
      </c>
      <c r="K631">
        <v>676</v>
      </c>
      <c r="L631">
        <f t="shared" si="82"/>
        <v>575</v>
      </c>
      <c r="M631">
        <v>473</v>
      </c>
      <c r="N631">
        <f t="shared" si="83"/>
        <v>326</v>
      </c>
      <c r="O631">
        <v>178</v>
      </c>
      <c r="P631">
        <v>916</v>
      </c>
      <c r="Q631">
        <v>830</v>
      </c>
      <c r="R631">
        <v>700</v>
      </c>
      <c r="S631">
        <f t="shared" si="84"/>
        <v>609</v>
      </c>
      <c r="T631">
        <v>518</v>
      </c>
      <c r="U631">
        <f t="shared" si="85"/>
        <v>366</v>
      </c>
      <c r="V631">
        <v>213</v>
      </c>
      <c r="W631">
        <v>721</v>
      </c>
      <c r="X631">
        <v>641</v>
      </c>
      <c r="Y631">
        <v>529</v>
      </c>
      <c r="Z631">
        <f t="shared" si="86"/>
        <v>457</v>
      </c>
      <c r="AA631">
        <v>384</v>
      </c>
      <c r="AB631">
        <f t="shared" si="87"/>
        <v>269</v>
      </c>
      <c r="AC631">
        <v>154</v>
      </c>
    </row>
    <row r="632" spans="1:29" x14ac:dyDescent="0.25">
      <c r="A632" t="s">
        <v>639</v>
      </c>
      <c r="B632">
        <v>1077</v>
      </c>
      <c r="C632">
        <v>952</v>
      </c>
      <c r="D632">
        <v>790</v>
      </c>
      <c r="E632">
        <f t="shared" si="80"/>
        <v>678</v>
      </c>
      <c r="F632">
        <v>565</v>
      </c>
      <c r="G632">
        <f t="shared" si="81"/>
        <v>390</v>
      </c>
      <c r="H632">
        <v>215</v>
      </c>
      <c r="I632">
        <v>917</v>
      </c>
      <c r="J632">
        <v>793</v>
      </c>
      <c r="K632">
        <v>643</v>
      </c>
      <c r="L632">
        <f t="shared" si="82"/>
        <v>546</v>
      </c>
      <c r="M632">
        <v>448</v>
      </c>
      <c r="N632">
        <f t="shared" si="83"/>
        <v>308</v>
      </c>
      <c r="O632">
        <v>168</v>
      </c>
      <c r="P632">
        <v>807</v>
      </c>
      <c r="Q632">
        <v>729</v>
      </c>
      <c r="R632">
        <v>618</v>
      </c>
      <c r="S632">
        <f t="shared" si="84"/>
        <v>539</v>
      </c>
      <c r="T632">
        <v>459</v>
      </c>
      <c r="U632">
        <f t="shared" si="85"/>
        <v>323</v>
      </c>
      <c r="V632">
        <v>187</v>
      </c>
      <c r="W632">
        <v>687</v>
      </c>
      <c r="X632">
        <v>607</v>
      </c>
      <c r="Y632">
        <v>503</v>
      </c>
      <c r="Z632">
        <f t="shared" si="86"/>
        <v>434</v>
      </c>
      <c r="AA632">
        <v>364</v>
      </c>
      <c r="AB632">
        <f t="shared" si="87"/>
        <v>255</v>
      </c>
      <c r="AC632">
        <v>146</v>
      </c>
    </row>
    <row r="633" spans="1:29" x14ac:dyDescent="0.25">
      <c r="A633" t="s">
        <v>640</v>
      </c>
      <c r="B633">
        <v>905</v>
      </c>
      <c r="C633">
        <v>810</v>
      </c>
      <c r="D633">
        <v>675</v>
      </c>
      <c r="E633">
        <f t="shared" si="80"/>
        <v>580</v>
      </c>
      <c r="F633">
        <v>485</v>
      </c>
      <c r="G633">
        <f t="shared" si="81"/>
        <v>334</v>
      </c>
      <c r="H633">
        <v>182</v>
      </c>
      <c r="I633">
        <v>852</v>
      </c>
      <c r="J633">
        <v>748</v>
      </c>
      <c r="K633">
        <v>606</v>
      </c>
      <c r="L633">
        <f t="shared" si="82"/>
        <v>515</v>
      </c>
      <c r="M633">
        <v>424</v>
      </c>
      <c r="N633">
        <f t="shared" si="83"/>
        <v>290</v>
      </c>
      <c r="O633">
        <v>156</v>
      </c>
      <c r="P633">
        <v>679</v>
      </c>
      <c r="Q633">
        <v>620</v>
      </c>
      <c r="R633">
        <v>529</v>
      </c>
      <c r="S633">
        <f t="shared" si="84"/>
        <v>462</v>
      </c>
      <c r="T633">
        <v>394</v>
      </c>
      <c r="U633">
        <f t="shared" si="85"/>
        <v>277</v>
      </c>
      <c r="V633">
        <v>159</v>
      </c>
      <c r="W633">
        <v>639</v>
      </c>
      <c r="X633">
        <v>573</v>
      </c>
      <c r="Y633">
        <v>475</v>
      </c>
      <c r="Z633">
        <f t="shared" si="86"/>
        <v>410</v>
      </c>
      <c r="AA633">
        <v>344</v>
      </c>
      <c r="AB633">
        <f t="shared" si="87"/>
        <v>240</v>
      </c>
      <c r="AC633">
        <v>136</v>
      </c>
    </row>
    <row r="634" spans="1:29" x14ac:dyDescent="0.25">
      <c r="A634" t="s">
        <v>641</v>
      </c>
      <c r="B634">
        <v>1622</v>
      </c>
      <c r="C634">
        <v>1418</v>
      </c>
      <c r="D634">
        <v>1150</v>
      </c>
      <c r="E634">
        <f t="shared" si="80"/>
        <v>981</v>
      </c>
      <c r="F634">
        <v>811</v>
      </c>
      <c r="G634">
        <f t="shared" si="81"/>
        <v>561</v>
      </c>
      <c r="H634">
        <v>311</v>
      </c>
      <c r="I634">
        <v>1104</v>
      </c>
      <c r="J634">
        <v>955</v>
      </c>
      <c r="K634">
        <v>767</v>
      </c>
      <c r="L634">
        <f t="shared" si="82"/>
        <v>651</v>
      </c>
      <c r="M634">
        <v>535</v>
      </c>
      <c r="N634">
        <f t="shared" si="83"/>
        <v>369</v>
      </c>
      <c r="O634">
        <v>203</v>
      </c>
      <c r="P634">
        <v>1216</v>
      </c>
      <c r="Q634">
        <v>1085</v>
      </c>
      <c r="R634">
        <v>900</v>
      </c>
      <c r="S634">
        <f t="shared" si="84"/>
        <v>780</v>
      </c>
      <c r="T634">
        <v>659</v>
      </c>
      <c r="U634">
        <f t="shared" si="85"/>
        <v>465</v>
      </c>
      <c r="V634">
        <v>271</v>
      </c>
      <c r="W634">
        <v>827</v>
      </c>
      <c r="X634">
        <v>731</v>
      </c>
      <c r="Y634">
        <v>600</v>
      </c>
      <c r="Z634">
        <f t="shared" si="86"/>
        <v>518</v>
      </c>
      <c r="AA634">
        <v>435</v>
      </c>
      <c r="AB634">
        <f t="shared" si="87"/>
        <v>306</v>
      </c>
      <c r="AC634">
        <v>177</v>
      </c>
    </row>
    <row r="635" spans="1:29" x14ac:dyDescent="0.25">
      <c r="A635" t="s">
        <v>642</v>
      </c>
      <c r="B635">
        <v>1492</v>
      </c>
      <c r="C635">
        <v>1309</v>
      </c>
      <c r="D635">
        <v>1067</v>
      </c>
      <c r="E635">
        <f t="shared" si="80"/>
        <v>912</v>
      </c>
      <c r="F635">
        <v>756</v>
      </c>
      <c r="G635">
        <f t="shared" si="81"/>
        <v>523</v>
      </c>
      <c r="H635">
        <v>290</v>
      </c>
      <c r="I635">
        <v>1056</v>
      </c>
      <c r="J635">
        <v>915</v>
      </c>
      <c r="K635">
        <v>736</v>
      </c>
      <c r="L635">
        <f t="shared" si="82"/>
        <v>625</v>
      </c>
      <c r="M635">
        <v>514</v>
      </c>
      <c r="N635">
        <f t="shared" si="83"/>
        <v>355</v>
      </c>
      <c r="O635">
        <v>195</v>
      </c>
      <c r="P635">
        <v>1118</v>
      </c>
      <c r="Q635">
        <v>1002</v>
      </c>
      <c r="R635">
        <v>835</v>
      </c>
      <c r="S635">
        <f t="shared" si="84"/>
        <v>725</v>
      </c>
      <c r="T635">
        <v>614</v>
      </c>
      <c r="U635">
        <f t="shared" si="85"/>
        <v>433</v>
      </c>
      <c r="V635">
        <v>252</v>
      </c>
      <c r="W635">
        <v>791</v>
      </c>
      <c r="X635">
        <v>700</v>
      </c>
      <c r="Y635">
        <v>576</v>
      </c>
      <c r="Z635">
        <f t="shared" si="86"/>
        <v>497</v>
      </c>
      <c r="AA635">
        <v>417</v>
      </c>
      <c r="AB635">
        <f t="shared" si="87"/>
        <v>293</v>
      </c>
      <c r="AC635">
        <v>169</v>
      </c>
    </row>
    <row r="636" spans="1:29" x14ac:dyDescent="0.25">
      <c r="A636" t="s">
        <v>643</v>
      </c>
      <c r="B636">
        <v>1357</v>
      </c>
      <c r="C636">
        <v>1198</v>
      </c>
      <c r="D636">
        <v>981</v>
      </c>
      <c r="E636">
        <f t="shared" si="80"/>
        <v>839</v>
      </c>
      <c r="F636">
        <v>697</v>
      </c>
      <c r="G636">
        <f t="shared" si="81"/>
        <v>482</v>
      </c>
      <c r="H636">
        <v>267</v>
      </c>
      <c r="I636">
        <v>1008</v>
      </c>
      <c r="J636">
        <v>875</v>
      </c>
      <c r="K636">
        <v>706</v>
      </c>
      <c r="L636">
        <f t="shared" si="82"/>
        <v>600</v>
      </c>
      <c r="M636">
        <v>493</v>
      </c>
      <c r="N636">
        <f t="shared" si="83"/>
        <v>339</v>
      </c>
      <c r="O636">
        <v>185</v>
      </c>
      <c r="P636">
        <v>1017</v>
      </c>
      <c r="Q636">
        <v>917</v>
      </c>
      <c r="R636">
        <v>768</v>
      </c>
      <c r="S636">
        <f t="shared" si="84"/>
        <v>667</v>
      </c>
      <c r="T636">
        <v>566</v>
      </c>
      <c r="U636">
        <f t="shared" si="85"/>
        <v>400</v>
      </c>
      <c r="V636">
        <v>233</v>
      </c>
      <c r="W636">
        <v>756</v>
      </c>
      <c r="X636">
        <v>670</v>
      </c>
      <c r="Y636">
        <v>553</v>
      </c>
      <c r="Z636">
        <f t="shared" si="86"/>
        <v>477</v>
      </c>
      <c r="AA636">
        <v>400</v>
      </c>
      <c r="AB636">
        <f t="shared" si="87"/>
        <v>281</v>
      </c>
      <c r="AC636">
        <v>162</v>
      </c>
    </row>
    <row r="637" spans="1:29" x14ac:dyDescent="0.25">
      <c r="A637" t="s">
        <v>644</v>
      </c>
      <c r="B637">
        <v>1217</v>
      </c>
      <c r="C637">
        <v>1079</v>
      </c>
      <c r="D637">
        <v>890</v>
      </c>
      <c r="E637">
        <f t="shared" si="80"/>
        <v>762</v>
      </c>
      <c r="F637">
        <v>634</v>
      </c>
      <c r="G637">
        <f t="shared" si="81"/>
        <v>438</v>
      </c>
      <c r="H637">
        <v>242</v>
      </c>
      <c r="I637">
        <v>959</v>
      </c>
      <c r="J637">
        <v>835</v>
      </c>
      <c r="K637">
        <v>675</v>
      </c>
      <c r="L637">
        <f t="shared" si="82"/>
        <v>573</v>
      </c>
      <c r="M637">
        <v>471</v>
      </c>
      <c r="N637">
        <f t="shared" si="83"/>
        <v>324</v>
      </c>
      <c r="O637">
        <v>176</v>
      </c>
      <c r="P637">
        <v>912</v>
      </c>
      <c r="Q637">
        <v>826</v>
      </c>
      <c r="R637">
        <v>696</v>
      </c>
      <c r="S637">
        <f t="shared" si="84"/>
        <v>606</v>
      </c>
      <c r="T637">
        <v>515</v>
      </c>
      <c r="U637">
        <f t="shared" si="85"/>
        <v>363</v>
      </c>
      <c r="V637">
        <v>211</v>
      </c>
      <c r="W637">
        <v>719</v>
      </c>
      <c r="X637">
        <v>639</v>
      </c>
      <c r="Y637">
        <v>527</v>
      </c>
      <c r="Z637">
        <f t="shared" si="86"/>
        <v>455</v>
      </c>
      <c r="AA637">
        <v>383</v>
      </c>
      <c r="AB637">
        <f t="shared" si="87"/>
        <v>269</v>
      </c>
      <c r="AC637">
        <v>154</v>
      </c>
    </row>
    <row r="638" spans="1:29" x14ac:dyDescent="0.25">
      <c r="A638" t="s">
        <v>645</v>
      </c>
      <c r="B638">
        <v>1073</v>
      </c>
      <c r="C638">
        <v>948</v>
      </c>
      <c r="D638">
        <v>785</v>
      </c>
      <c r="E638">
        <f t="shared" si="80"/>
        <v>674</v>
      </c>
      <c r="F638">
        <v>562</v>
      </c>
      <c r="G638">
        <f t="shared" si="81"/>
        <v>389</v>
      </c>
      <c r="H638">
        <v>216</v>
      </c>
      <c r="I638">
        <v>916</v>
      </c>
      <c r="J638">
        <v>792</v>
      </c>
      <c r="K638">
        <v>641</v>
      </c>
      <c r="L638">
        <f t="shared" si="82"/>
        <v>545</v>
      </c>
      <c r="M638">
        <v>448</v>
      </c>
      <c r="N638">
        <f t="shared" si="83"/>
        <v>308</v>
      </c>
      <c r="O638">
        <v>168</v>
      </c>
      <c r="P638">
        <v>804</v>
      </c>
      <c r="Q638">
        <v>725</v>
      </c>
      <c r="R638">
        <v>614</v>
      </c>
      <c r="S638">
        <f t="shared" si="84"/>
        <v>535</v>
      </c>
      <c r="T638">
        <v>456</v>
      </c>
      <c r="U638">
        <f t="shared" si="85"/>
        <v>322</v>
      </c>
      <c r="V638">
        <v>188</v>
      </c>
      <c r="W638">
        <v>686</v>
      </c>
      <c r="X638">
        <v>606</v>
      </c>
      <c r="Y638">
        <v>502</v>
      </c>
      <c r="Z638">
        <f t="shared" si="86"/>
        <v>433</v>
      </c>
      <c r="AA638">
        <v>363</v>
      </c>
      <c r="AB638">
        <f t="shared" si="87"/>
        <v>255</v>
      </c>
      <c r="AC638">
        <v>147</v>
      </c>
    </row>
    <row r="639" spans="1:29" x14ac:dyDescent="0.25">
      <c r="A639" t="s">
        <v>646</v>
      </c>
      <c r="B639">
        <v>907</v>
      </c>
      <c r="C639">
        <v>807</v>
      </c>
      <c r="D639">
        <v>672</v>
      </c>
      <c r="E639">
        <f t="shared" si="80"/>
        <v>578</v>
      </c>
      <c r="F639">
        <v>483</v>
      </c>
      <c r="G639">
        <f t="shared" si="81"/>
        <v>332</v>
      </c>
      <c r="H639">
        <v>181</v>
      </c>
      <c r="I639">
        <v>861</v>
      </c>
      <c r="J639">
        <v>748</v>
      </c>
      <c r="K639">
        <v>606</v>
      </c>
      <c r="L639">
        <f t="shared" si="82"/>
        <v>515</v>
      </c>
      <c r="M639">
        <v>423</v>
      </c>
      <c r="N639">
        <f t="shared" si="83"/>
        <v>290</v>
      </c>
      <c r="O639">
        <v>156</v>
      </c>
      <c r="P639">
        <v>680</v>
      </c>
      <c r="Q639">
        <v>617</v>
      </c>
      <c r="R639">
        <v>526</v>
      </c>
      <c r="S639">
        <f t="shared" si="84"/>
        <v>459</v>
      </c>
      <c r="T639">
        <v>392</v>
      </c>
      <c r="U639">
        <f t="shared" si="85"/>
        <v>275</v>
      </c>
      <c r="V639">
        <v>158</v>
      </c>
      <c r="W639">
        <v>646</v>
      </c>
      <c r="X639">
        <v>572</v>
      </c>
      <c r="Y639">
        <v>475</v>
      </c>
      <c r="Z639">
        <f t="shared" si="86"/>
        <v>409</v>
      </c>
      <c r="AA639">
        <v>343</v>
      </c>
      <c r="AB639">
        <f t="shared" si="87"/>
        <v>240</v>
      </c>
      <c r="AC639">
        <v>136</v>
      </c>
    </row>
    <row r="640" spans="1:29" x14ac:dyDescent="0.25">
      <c r="A640" t="s">
        <v>647</v>
      </c>
      <c r="B640">
        <v>843</v>
      </c>
      <c r="C640">
        <v>740</v>
      </c>
      <c r="D640">
        <v>601</v>
      </c>
      <c r="E640">
        <f t="shared" si="80"/>
        <v>511</v>
      </c>
      <c r="F640">
        <v>421</v>
      </c>
      <c r="G640">
        <f t="shared" si="81"/>
        <v>289</v>
      </c>
      <c r="H640">
        <v>157</v>
      </c>
      <c r="I640">
        <v>843</v>
      </c>
      <c r="J640">
        <v>740</v>
      </c>
      <c r="K640">
        <v>601</v>
      </c>
      <c r="L640">
        <f t="shared" si="82"/>
        <v>511</v>
      </c>
      <c r="M640">
        <v>421</v>
      </c>
      <c r="N640">
        <f t="shared" si="83"/>
        <v>289</v>
      </c>
      <c r="O640">
        <v>157</v>
      </c>
      <c r="P640">
        <v>632</v>
      </c>
      <c r="Q640">
        <v>566</v>
      </c>
      <c r="R640">
        <v>471</v>
      </c>
      <c r="S640">
        <f t="shared" si="84"/>
        <v>407</v>
      </c>
      <c r="T640">
        <v>342</v>
      </c>
      <c r="U640">
        <f t="shared" si="85"/>
        <v>240</v>
      </c>
      <c r="V640">
        <v>137</v>
      </c>
      <c r="W640">
        <v>632</v>
      </c>
      <c r="X640">
        <v>566</v>
      </c>
      <c r="Y640">
        <v>471</v>
      </c>
      <c r="Z640">
        <f t="shared" si="86"/>
        <v>407</v>
      </c>
      <c r="AA640">
        <v>342</v>
      </c>
      <c r="AB640">
        <f t="shared" si="87"/>
        <v>240</v>
      </c>
      <c r="AC640">
        <v>137</v>
      </c>
    </row>
    <row r="641" spans="1:29" x14ac:dyDescent="0.25">
      <c r="A641" t="s">
        <v>648</v>
      </c>
      <c r="B641">
        <v>1485</v>
      </c>
      <c r="C641">
        <v>1302</v>
      </c>
      <c r="D641">
        <v>1060</v>
      </c>
      <c r="E641">
        <f t="shared" si="80"/>
        <v>904</v>
      </c>
      <c r="F641">
        <v>747</v>
      </c>
      <c r="G641">
        <f t="shared" si="81"/>
        <v>516</v>
      </c>
      <c r="H641">
        <v>285</v>
      </c>
      <c r="I641">
        <v>1054</v>
      </c>
      <c r="J641">
        <v>912</v>
      </c>
      <c r="K641">
        <v>733</v>
      </c>
      <c r="L641">
        <f t="shared" si="82"/>
        <v>622</v>
      </c>
      <c r="M641">
        <v>511</v>
      </c>
      <c r="N641">
        <f t="shared" si="83"/>
        <v>352</v>
      </c>
      <c r="O641">
        <v>193</v>
      </c>
      <c r="P641">
        <v>1113</v>
      </c>
      <c r="Q641">
        <v>996</v>
      </c>
      <c r="R641">
        <v>830</v>
      </c>
      <c r="S641">
        <f t="shared" si="84"/>
        <v>719</v>
      </c>
      <c r="T641">
        <v>607</v>
      </c>
      <c r="U641">
        <f t="shared" si="85"/>
        <v>428</v>
      </c>
      <c r="V641">
        <v>249</v>
      </c>
      <c r="W641">
        <v>790</v>
      </c>
      <c r="X641">
        <v>698</v>
      </c>
      <c r="Y641">
        <v>574</v>
      </c>
      <c r="Z641">
        <f t="shared" si="86"/>
        <v>495</v>
      </c>
      <c r="AA641">
        <v>416</v>
      </c>
      <c r="AB641">
        <f t="shared" si="87"/>
        <v>292</v>
      </c>
      <c r="AC641">
        <v>168</v>
      </c>
    </row>
    <row r="642" spans="1:29" x14ac:dyDescent="0.25">
      <c r="A642" t="s">
        <v>649</v>
      </c>
      <c r="B642">
        <v>1349</v>
      </c>
      <c r="C642">
        <v>1188</v>
      </c>
      <c r="D642">
        <v>973</v>
      </c>
      <c r="E642">
        <f t="shared" si="80"/>
        <v>832</v>
      </c>
      <c r="F642">
        <v>690</v>
      </c>
      <c r="G642">
        <f t="shared" si="81"/>
        <v>477</v>
      </c>
      <c r="H642">
        <v>263</v>
      </c>
      <c r="I642">
        <v>1005</v>
      </c>
      <c r="J642">
        <v>872</v>
      </c>
      <c r="K642">
        <v>704</v>
      </c>
      <c r="L642">
        <f t="shared" si="82"/>
        <v>598</v>
      </c>
      <c r="M642">
        <v>491</v>
      </c>
      <c r="N642">
        <f t="shared" si="83"/>
        <v>338</v>
      </c>
      <c r="O642">
        <v>184</v>
      </c>
      <c r="P642">
        <v>1012</v>
      </c>
      <c r="Q642">
        <v>909</v>
      </c>
      <c r="R642">
        <v>761</v>
      </c>
      <c r="S642">
        <f t="shared" si="84"/>
        <v>661</v>
      </c>
      <c r="T642">
        <v>560</v>
      </c>
      <c r="U642">
        <f t="shared" si="85"/>
        <v>395</v>
      </c>
      <c r="V642">
        <v>229</v>
      </c>
      <c r="W642">
        <v>754</v>
      </c>
      <c r="X642">
        <v>668</v>
      </c>
      <c r="Y642">
        <v>551</v>
      </c>
      <c r="Z642">
        <f t="shared" si="86"/>
        <v>475</v>
      </c>
      <c r="AA642">
        <v>398</v>
      </c>
      <c r="AB642">
        <f t="shared" si="87"/>
        <v>279</v>
      </c>
      <c r="AC642">
        <v>160</v>
      </c>
    </row>
    <row r="643" spans="1:29" x14ac:dyDescent="0.25">
      <c r="A643" t="s">
        <v>650</v>
      </c>
      <c r="B643">
        <v>1208</v>
      </c>
      <c r="C643">
        <v>1070</v>
      </c>
      <c r="D643">
        <v>881</v>
      </c>
      <c r="E643">
        <f t="shared" si="80"/>
        <v>754</v>
      </c>
      <c r="F643">
        <v>627</v>
      </c>
      <c r="G643">
        <f t="shared" si="81"/>
        <v>434</v>
      </c>
      <c r="H643">
        <v>240</v>
      </c>
      <c r="I643">
        <v>956</v>
      </c>
      <c r="J643">
        <v>832</v>
      </c>
      <c r="K643">
        <v>672</v>
      </c>
      <c r="L643">
        <f t="shared" si="82"/>
        <v>571</v>
      </c>
      <c r="M643">
        <v>469</v>
      </c>
      <c r="N643">
        <f t="shared" si="83"/>
        <v>323</v>
      </c>
      <c r="O643">
        <v>176</v>
      </c>
      <c r="P643">
        <v>906</v>
      </c>
      <c r="Q643">
        <v>819</v>
      </c>
      <c r="R643">
        <v>690</v>
      </c>
      <c r="S643">
        <f t="shared" si="84"/>
        <v>600</v>
      </c>
      <c r="T643">
        <v>509</v>
      </c>
      <c r="U643">
        <f t="shared" si="85"/>
        <v>359</v>
      </c>
      <c r="V643">
        <v>209</v>
      </c>
      <c r="W643">
        <v>717</v>
      </c>
      <c r="X643">
        <v>637</v>
      </c>
      <c r="Y643">
        <v>526</v>
      </c>
      <c r="Z643">
        <f t="shared" si="86"/>
        <v>454</v>
      </c>
      <c r="AA643">
        <v>381</v>
      </c>
      <c r="AB643">
        <f t="shared" si="87"/>
        <v>267</v>
      </c>
      <c r="AC643">
        <v>153</v>
      </c>
    </row>
    <row r="644" spans="1:29" x14ac:dyDescent="0.25">
      <c r="A644" t="s">
        <v>651</v>
      </c>
      <c r="B644">
        <v>1068</v>
      </c>
      <c r="C644">
        <v>942</v>
      </c>
      <c r="D644">
        <v>780</v>
      </c>
      <c r="E644">
        <f t="shared" si="80"/>
        <v>669</v>
      </c>
      <c r="F644">
        <v>558</v>
      </c>
      <c r="G644">
        <f t="shared" si="81"/>
        <v>385</v>
      </c>
      <c r="H644">
        <v>212</v>
      </c>
      <c r="I644">
        <v>914</v>
      </c>
      <c r="J644">
        <v>789</v>
      </c>
      <c r="K644">
        <v>639</v>
      </c>
      <c r="L644">
        <f t="shared" si="82"/>
        <v>543</v>
      </c>
      <c r="M644">
        <v>446</v>
      </c>
      <c r="N644">
        <f t="shared" si="83"/>
        <v>306</v>
      </c>
      <c r="O644">
        <v>165</v>
      </c>
      <c r="P644">
        <v>800</v>
      </c>
      <c r="Q644">
        <v>721</v>
      </c>
      <c r="R644">
        <v>611</v>
      </c>
      <c r="S644">
        <f t="shared" si="84"/>
        <v>532</v>
      </c>
      <c r="T644">
        <v>453</v>
      </c>
      <c r="U644">
        <f t="shared" si="85"/>
        <v>319</v>
      </c>
      <c r="V644">
        <v>185</v>
      </c>
      <c r="W644">
        <v>685</v>
      </c>
      <c r="X644">
        <v>604</v>
      </c>
      <c r="Y644">
        <v>500</v>
      </c>
      <c r="Z644">
        <f t="shared" si="86"/>
        <v>431</v>
      </c>
      <c r="AA644">
        <v>362</v>
      </c>
      <c r="AB644">
        <f t="shared" si="87"/>
        <v>253</v>
      </c>
      <c r="AC644">
        <v>144</v>
      </c>
    </row>
    <row r="645" spans="1:29" x14ac:dyDescent="0.25">
      <c r="A645" t="s">
        <v>652</v>
      </c>
      <c r="B645">
        <v>902</v>
      </c>
      <c r="C645">
        <v>802</v>
      </c>
      <c r="D645">
        <v>668</v>
      </c>
      <c r="E645">
        <f t="shared" ref="E645:E708" si="88">ROUND((D645+F645)/2,0)</f>
        <v>574</v>
      </c>
      <c r="F645">
        <v>479</v>
      </c>
      <c r="G645">
        <f t="shared" ref="G645:G708" si="89">ROUND((F645+H645)/2,0)</f>
        <v>330</v>
      </c>
      <c r="H645">
        <v>181</v>
      </c>
      <c r="I645">
        <v>861</v>
      </c>
      <c r="J645">
        <v>746</v>
      </c>
      <c r="K645">
        <v>605</v>
      </c>
      <c r="L645">
        <f t="shared" ref="L645:L708" si="90">ROUND((K645+M645)/2,0)</f>
        <v>513</v>
      </c>
      <c r="M645">
        <v>421</v>
      </c>
      <c r="N645">
        <f t="shared" ref="N645:N708" si="91">ROUND((M645+O645)/2,0)</f>
        <v>289</v>
      </c>
      <c r="O645">
        <v>156</v>
      </c>
      <c r="P645">
        <v>676</v>
      </c>
      <c r="Q645">
        <v>614</v>
      </c>
      <c r="R645">
        <v>523</v>
      </c>
      <c r="S645">
        <f t="shared" ref="S645:S708" si="92">ROUND((R645+T645)/2,0)</f>
        <v>456</v>
      </c>
      <c r="T645">
        <v>389</v>
      </c>
      <c r="U645">
        <f t="shared" ref="U645:U708" si="93">ROUND((T645+V645)/2,0)</f>
        <v>274</v>
      </c>
      <c r="V645">
        <v>158</v>
      </c>
      <c r="W645">
        <v>645</v>
      </c>
      <c r="X645">
        <v>571</v>
      </c>
      <c r="Y645">
        <v>473</v>
      </c>
      <c r="Z645">
        <f t="shared" ref="Z645:Z708" si="94">ROUND((Y645+AA645)/2,0)</f>
        <v>408</v>
      </c>
      <c r="AA645">
        <v>342</v>
      </c>
      <c r="AB645">
        <f t="shared" ref="AB645:AB708" si="95">ROUND((AA645+AC645)/2,0)</f>
        <v>239</v>
      </c>
      <c r="AC645">
        <v>136</v>
      </c>
    </row>
    <row r="646" spans="1:29" x14ac:dyDescent="0.25">
      <c r="A646" t="s">
        <v>653</v>
      </c>
      <c r="B646">
        <v>835</v>
      </c>
      <c r="C646">
        <v>741</v>
      </c>
      <c r="D646">
        <v>595</v>
      </c>
      <c r="E646">
        <f t="shared" si="88"/>
        <v>506</v>
      </c>
      <c r="F646">
        <v>417</v>
      </c>
      <c r="G646">
        <f t="shared" si="89"/>
        <v>286</v>
      </c>
      <c r="H646">
        <v>155</v>
      </c>
      <c r="I646">
        <v>835</v>
      </c>
      <c r="J646">
        <v>741</v>
      </c>
      <c r="K646">
        <v>595</v>
      </c>
      <c r="L646">
        <f t="shared" si="90"/>
        <v>506</v>
      </c>
      <c r="M646">
        <v>417</v>
      </c>
      <c r="N646">
        <f t="shared" si="91"/>
        <v>286</v>
      </c>
      <c r="O646">
        <v>155</v>
      </c>
      <c r="P646">
        <v>626</v>
      </c>
      <c r="Q646">
        <v>567</v>
      </c>
      <c r="R646">
        <v>466</v>
      </c>
      <c r="S646">
        <f t="shared" si="92"/>
        <v>403</v>
      </c>
      <c r="T646">
        <v>339</v>
      </c>
      <c r="U646">
        <f t="shared" si="93"/>
        <v>237</v>
      </c>
      <c r="V646">
        <v>135</v>
      </c>
      <c r="W646">
        <v>626</v>
      </c>
      <c r="X646">
        <v>567</v>
      </c>
      <c r="Y646">
        <v>466</v>
      </c>
      <c r="Z646">
        <f t="shared" si="94"/>
        <v>403</v>
      </c>
      <c r="AA646">
        <v>339</v>
      </c>
      <c r="AB646">
        <f t="shared" si="95"/>
        <v>237</v>
      </c>
      <c r="AC646">
        <v>135</v>
      </c>
    </row>
    <row r="647" spans="1:29" x14ac:dyDescent="0.25">
      <c r="A647" t="s">
        <v>654</v>
      </c>
      <c r="B647">
        <v>782</v>
      </c>
      <c r="C647">
        <v>696</v>
      </c>
      <c r="D647">
        <v>564</v>
      </c>
      <c r="E647">
        <f t="shared" si="88"/>
        <v>480</v>
      </c>
      <c r="F647">
        <v>395</v>
      </c>
      <c r="G647">
        <f t="shared" si="89"/>
        <v>271</v>
      </c>
      <c r="H647">
        <v>146</v>
      </c>
      <c r="I647">
        <v>782</v>
      </c>
      <c r="J647">
        <v>696</v>
      </c>
      <c r="K647">
        <v>564</v>
      </c>
      <c r="L647">
        <f t="shared" si="90"/>
        <v>480</v>
      </c>
      <c r="M647">
        <v>395</v>
      </c>
      <c r="N647">
        <f t="shared" si="91"/>
        <v>271</v>
      </c>
      <c r="O647">
        <v>146</v>
      </c>
      <c r="P647">
        <v>586</v>
      </c>
      <c r="Q647">
        <v>533</v>
      </c>
      <c r="R647">
        <v>441</v>
      </c>
      <c r="S647">
        <f t="shared" si="92"/>
        <v>381</v>
      </c>
      <c r="T647">
        <v>321</v>
      </c>
      <c r="U647">
        <f t="shared" si="93"/>
        <v>225</v>
      </c>
      <c r="V647">
        <v>128</v>
      </c>
      <c r="W647">
        <v>586</v>
      </c>
      <c r="X647">
        <v>533</v>
      </c>
      <c r="Y647">
        <v>441</v>
      </c>
      <c r="Z647">
        <f t="shared" si="94"/>
        <v>381</v>
      </c>
      <c r="AA647">
        <v>321</v>
      </c>
      <c r="AB647">
        <f t="shared" si="95"/>
        <v>225</v>
      </c>
      <c r="AC647">
        <v>128</v>
      </c>
    </row>
    <row r="648" spans="1:29" x14ac:dyDescent="0.25">
      <c r="A648" t="s">
        <v>655</v>
      </c>
      <c r="B648">
        <v>1342</v>
      </c>
      <c r="C648">
        <v>1181</v>
      </c>
      <c r="D648">
        <v>964</v>
      </c>
      <c r="E648">
        <f t="shared" si="88"/>
        <v>823</v>
      </c>
      <c r="F648">
        <v>681</v>
      </c>
      <c r="G648">
        <f t="shared" si="89"/>
        <v>470</v>
      </c>
      <c r="H648">
        <v>259</v>
      </c>
      <c r="I648">
        <v>1003</v>
      </c>
      <c r="J648">
        <v>870</v>
      </c>
      <c r="K648">
        <v>700</v>
      </c>
      <c r="L648">
        <f t="shared" si="90"/>
        <v>594</v>
      </c>
      <c r="M648">
        <v>488</v>
      </c>
      <c r="N648">
        <f t="shared" si="91"/>
        <v>335</v>
      </c>
      <c r="O648">
        <v>182</v>
      </c>
      <c r="P648">
        <v>1006</v>
      </c>
      <c r="Q648">
        <v>903</v>
      </c>
      <c r="R648">
        <v>754</v>
      </c>
      <c r="S648">
        <f t="shared" si="92"/>
        <v>654</v>
      </c>
      <c r="T648">
        <v>553</v>
      </c>
      <c r="U648">
        <f t="shared" si="93"/>
        <v>389</v>
      </c>
      <c r="V648">
        <v>225</v>
      </c>
      <c r="W648">
        <v>752</v>
      </c>
      <c r="X648">
        <v>665</v>
      </c>
      <c r="Y648">
        <v>547</v>
      </c>
      <c r="Z648">
        <f t="shared" si="94"/>
        <v>472</v>
      </c>
      <c r="AA648">
        <v>396</v>
      </c>
      <c r="AB648">
        <f t="shared" si="95"/>
        <v>277</v>
      </c>
      <c r="AC648">
        <v>158</v>
      </c>
    </row>
    <row r="649" spans="1:29" x14ac:dyDescent="0.25">
      <c r="A649" t="s">
        <v>656</v>
      </c>
      <c r="B649">
        <v>1200</v>
      </c>
      <c r="C649">
        <v>1061</v>
      </c>
      <c r="D649">
        <v>872</v>
      </c>
      <c r="E649">
        <f t="shared" si="88"/>
        <v>746</v>
      </c>
      <c r="F649">
        <v>619</v>
      </c>
      <c r="G649">
        <f t="shared" si="89"/>
        <v>427</v>
      </c>
      <c r="H649">
        <v>235</v>
      </c>
      <c r="I649">
        <v>954</v>
      </c>
      <c r="J649">
        <v>829</v>
      </c>
      <c r="K649">
        <v>669</v>
      </c>
      <c r="L649">
        <f t="shared" si="90"/>
        <v>568</v>
      </c>
      <c r="M649">
        <v>466</v>
      </c>
      <c r="N649">
        <f t="shared" si="91"/>
        <v>320</v>
      </c>
      <c r="O649">
        <v>174</v>
      </c>
      <c r="P649">
        <v>899</v>
      </c>
      <c r="Q649">
        <v>812</v>
      </c>
      <c r="R649">
        <v>682</v>
      </c>
      <c r="S649">
        <f t="shared" si="92"/>
        <v>593</v>
      </c>
      <c r="T649">
        <v>503</v>
      </c>
      <c r="U649">
        <f t="shared" si="93"/>
        <v>354</v>
      </c>
      <c r="V649">
        <v>205</v>
      </c>
      <c r="W649">
        <v>715</v>
      </c>
      <c r="X649">
        <v>634</v>
      </c>
      <c r="Y649">
        <v>523</v>
      </c>
      <c r="Z649">
        <f t="shared" si="94"/>
        <v>451</v>
      </c>
      <c r="AA649">
        <v>379</v>
      </c>
      <c r="AB649">
        <f t="shared" si="95"/>
        <v>265</v>
      </c>
      <c r="AC649">
        <v>151</v>
      </c>
    </row>
    <row r="650" spans="1:29" x14ac:dyDescent="0.25">
      <c r="A650" t="s">
        <v>657</v>
      </c>
      <c r="B650">
        <v>1061</v>
      </c>
      <c r="C650">
        <v>936</v>
      </c>
      <c r="D650">
        <v>774</v>
      </c>
      <c r="E650">
        <f t="shared" si="88"/>
        <v>664</v>
      </c>
      <c r="F650">
        <v>553</v>
      </c>
      <c r="G650">
        <f t="shared" si="89"/>
        <v>382</v>
      </c>
      <c r="H650">
        <v>211</v>
      </c>
      <c r="I650">
        <v>912</v>
      </c>
      <c r="J650">
        <v>789</v>
      </c>
      <c r="K650">
        <v>638</v>
      </c>
      <c r="L650">
        <f t="shared" si="90"/>
        <v>541</v>
      </c>
      <c r="M650">
        <v>444</v>
      </c>
      <c r="N650">
        <f t="shared" si="91"/>
        <v>305</v>
      </c>
      <c r="O650">
        <v>165</v>
      </c>
      <c r="P650">
        <v>795</v>
      </c>
      <c r="Q650">
        <v>716</v>
      </c>
      <c r="R650">
        <v>606</v>
      </c>
      <c r="S650">
        <f t="shared" si="92"/>
        <v>528</v>
      </c>
      <c r="T650">
        <v>449</v>
      </c>
      <c r="U650">
        <f t="shared" si="93"/>
        <v>316</v>
      </c>
      <c r="V650">
        <v>183</v>
      </c>
      <c r="W650">
        <v>683</v>
      </c>
      <c r="X650">
        <v>603</v>
      </c>
      <c r="Y650">
        <v>499</v>
      </c>
      <c r="Z650">
        <f t="shared" si="94"/>
        <v>430</v>
      </c>
      <c r="AA650">
        <v>360</v>
      </c>
      <c r="AB650">
        <f t="shared" si="95"/>
        <v>252</v>
      </c>
      <c r="AC650">
        <v>143</v>
      </c>
    </row>
    <row r="651" spans="1:29" x14ac:dyDescent="0.25">
      <c r="A651" t="s">
        <v>658</v>
      </c>
      <c r="B651">
        <v>896</v>
      </c>
      <c r="C651">
        <v>797</v>
      </c>
      <c r="D651">
        <v>663</v>
      </c>
      <c r="E651">
        <f t="shared" si="88"/>
        <v>569</v>
      </c>
      <c r="F651">
        <v>475</v>
      </c>
      <c r="G651">
        <f t="shared" si="89"/>
        <v>328</v>
      </c>
      <c r="H651">
        <v>181</v>
      </c>
      <c r="I651">
        <v>858</v>
      </c>
      <c r="J651">
        <v>745</v>
      </c>
      <c r="K651">
        <v>602</v>
      </c>
      <c r="L651">
        <f t="shared" si="90"/>
        <v>512</v>
      </c>
      <c r="M651">
        <v>421</v>
      </c>
      <c r="N651">
        <f t="shared" si="91"/>
        <v>289</v>
      </c>
      <c r="O651">
        <v>156</v>
      </c>
      <c r="P651">
        <v>672</v>
      </c>
      <c r="Q651">
        <v>610</v>
      </c>
      <c r="R651">
        <v>519</v>
      </c>
      <c r="S651">
        <f t="shared" si="92"/>
        <v>453</v>
      </c>
      <c r="T651">
        <v>386</v>
      </c>
      <c r="U651">
        <f t="shared" si="93"/>
        <v>272</v>
      </c>
      <c r="V651">
        <v>158</v>
      </c>
      <c r="W651">
        <v>643</v>
      </c>
      <c r="X651">
        <v>570</v>
      </c>
      <c r="Y651">
        <v>471</v>
      </c>
      <c r="Z651">
        <f t="shared" si="94"/>
        <v>407</v>
      </c>
      <c r="AA651">
        <v>342</v>
      </c>
      <c r="AB651">
        <f t="shared" si="95"/>
        <v>239</v>
      </c>
      <c r="AC651">
        <v>136</v>
      </c>
    </row>
    <row r="652" spans="1:29" x14ac:dyDescent="0.25">
      <c r="A652" t="s">
        <v>659</v>
      </c>
      <c r="B652">
        <v>828</v>
      </c>
      <c r="C652">
        <v>734</v>
      </c>
      <c r="D652">
        <v>590</v>
      </c>
      <c r="E652">
        <f t="shared" si="88"/>
        <v>502</v>
      </c>
      <c r="F652">
        <v>413</v>
      </c>
      <c r="G652">
        <f t="shared" si="89"/>
        <v>283</v>
      </c>
      <c r="H652">
        <v>152</v>
      </c>
      <c r="I652">
        <v>828</v>
      </c>
      <c r="J652">
        <v>734</v>
      </c>
      <c r="K652">
        <v>590</v>
      </c>
      <c r="L652">
        <f t="shared" si="90"/>
        <v>502</v>
      </c>
      <c r="M652">
        <v>413</v>
      </c>
      <c r="N652">
        <f t="shared" si="91"/>
        <v>283</v>
      </c>
      <c r="O652">
        <v>152</v>
      </c>
      <c r="P652">
        <v>621</v>
      </c>
      <c r="Q652">
        <v>561</v>
      </c>
      <c r="R652">
        <v>462</v>
      </c>
      <c r="S652">
        <f t="shared" si="92"/>
        <v>399</v>
      </c>
      <c r="T652">
        <v>335</v>
      </c>
      <c r="U652">
        <f t="shared" si="93"/>
        <v>234</v>
      </c>
      <c r="V652">
        <v>133</v>
      </c>
      <c r="W652">
        <v>621</v>
      </c>
      <c r="X652">
        <v>561</v>
      </c>
      <c r="Y652">
        <v>462</v>
      </c>
      <c r="Z652">
        <f t="shared" si="94"/>
        <v>399</v>
      </c>
      <c r="AA652">
        <v>335</v>
      </c>
      <c r="AB652">
        <f t="shared" si="95"/>
        <v>234</v>
      </c>
      <c r="AC652">
        <v>133</v>
      </c>
    </row>
    <row r="653" spans="1:29" x14ac:dyDescent="0.25">
      <c r="A653" t="s">
        <v>660</v>
      </c>
      <c r="B653">
        <v>776</v>
      </c>
      <c r="C653">
        <v>690</v>
      </c>
      <c r="D653">
        <v>559</v>
      </c>
      <c r="E653">
        <f t="shared" si="88"/>
        <v>476</v>
      </c>
      <c r="F653">
        <v>392</v>
      </c>
      <c r="G653">
        <f t="shared" si="89"/>
        <v>269</v>
      </c>
      <c r="H653">
        <v>146</v>
      </c>
      <c r="I653">
        <v>776</v>
      </c>
      <c r="J653">
        <v>690</v>
      </c>
      <c r="K653">
        <v>559</v>
      </c>
      <c r="L653">
        <f t="shared" si="90"/>
        <v>476</v>
      </c>
      <c r="M653">
        <v>392</v>
      </c>
      <c r="N653">
        <f t="shared" si="91"/>
        <v>269</v>
      </c>
      <c r="O653">
        <v>146</v>
      </c>
      <c r="P653">
        <v>581</v>
      </c>
      <c r="Q653">
        <v>528</v>
      </c>
      <c r="R653">
        <v>437</v>
      </c>
      <c r="S653">
        <f t="shared" si="92"/>
        <v>378</v>
      </c>
      <c r="T653">
        <v>319</v>
      </c>
      <c r="U653">
        <f t="shared" si="93"/>
        <v>224</v>
      </c>
      <c r="V653">
        <v>128</v>
      </c>
      <c r="W653">
        <v>581</v>
      </c>
      <c r="X653">
        <v>528</v>
      </c>
      <c r="Y653">
        <v>437</v>
      </c>
      <c r="Z653">
        <f t="shared" si="94"/>
        <v>378</v>
      </c>
      <c r="AA653">
        <v>319</v>
      </c>
      <c r="AB653">
        <f t="shared" si="95"/>
        <v>224</v>
      </c>
      <c r="AC653">
        <v>128</v>
      </c>
    </row>
    <row r="654" spans="1:29" x14ac:dyDescent="0.25">
      <c r="A654" t="s">
        <v>661</v>
      </c>
      <c r="B654">
        <v>721</v>
      </c>
      <c r="C654">
        <v>642</v>
      </c>
      <c r="D654">
        <v>528</v>
      </c>
      <c r="E654">
        <f t="shared" si="88"/>
        <v>450</v>
      </c>
      <c r="F654">
        <v>372</v>
      </c>
      <c r="G654">
        <f t="shared" si="89"/>
        <v>254</v>
      </c>
      <c r="H654">
        <v>135</v>
      </c>
      <c r="I654">
        <v>721</v>
      </c>
      <c r="J654">
        <v>642</v>
      </c>
      <c r="K654">
        <v>528</v>
      </c>
      <c r="L654">
        <f t="shared" si="90"/>
        <v>450</v>
      </c>
      <c r="M654">
        <v>372</v>
      </c>
      <c r="N654">
        <f t="shared" si="91"/>
        <v>254</v>
      </c>
      <c r="O654">
        <v>135</v>
      </c>
      <c r="P654">
        <v>540</v>
      </c>
      <c r="Q654">
        <v>492</v>
      </c>
      <c r="R654">
        <v>413</v>
      </c>
      <c r="S654">
        <f t="shared" si="92"/>
        <v>358</v>
      </c>
      <c r="T654">
        <v>302</v>
      </c>
      <c r="U654">
        <f t="shared" si="93"/>
        <v>210</v>
      </c>
      <c r="V654">
        <v>117</v>
      </c>
      <c r="W654">
        <v>540</v>
      </c>
      <c r="X654">
        <v>492</v>
      </c>
      <c r="Y654">
        <v>413</v>
      </c>
      <c r="Z654">
        <f t="shared" si="94"/>
        <v>358</v>
      </c>
      <c r="AA654">
        <v>302</v>
      </c>
      <c r="AB654">
        <f t="shared" si="95"/>
        <v>210</v>
      </c>
      <c r="AC654">
        <v>117</v>
      </c>
    </row>
    <row r="655" spans="1:29" x14ac:dyDescent="0.25">
      <c r="A655" t="s">
        <v>662</v>
      </c>
      <c r="B655">
        <v>1190</v>
      </c>
      <c r="C655">
        <v>1051</v>
      </c>
      <c r="D655">
        <v>862</v>
      </c>
      <c r="E655">
        <f t="shared" si="88"/>
        <v>736</v>
      </c>
      <c r="F655">
        <v>610</v>
      </c>
      <c r="G655">
        <f t="shared" si="89"/>
        <v>421</v>
      </c>
      <c r="H655">
        <v>231</v>
      </c>
      <c r="I655">
        <v>1190</v>
      </c>
      <c r="J655">
        <v>1051</v>
      </c>
      <c r="K655">
        <v>862</v>
      </c>
      <c r="L655">
        <f t="shared" si="90"/>
        <v>736</v>
      </c>
      <c r="M655">
        <v>610</v>
      </c>
      <c r="N655">
        <f t="shared" si="91"/>
        <v>421</v>
      </c>
      <c r="O655">
        <v>231</v>
      </c>
      <c r="P655">
        <v>892</v>
      </c>
      <c r="Q655">
        <v>804</v>
      </c>
      <c r="R655">
        <v>675</v>
      </c>
      <c r="S655">
        <f t="shared" si="92"/>
        <v>586</v>
      </c>
      <c r="T655">
        <v>496</v>
      </c>
      <c r="U655">
        <f t="shared" si="93"/>
        <v>349</v>
      </c>
      <c r="V655">
        <v>202</v>
      </c>
      <c r="W655">
        <v>892</v>
      </c>
      <c r="X655">
        <v>804</v>
      </c>
      <c r="Y655">
        <v>675</v>
      </c>
      <c r="Z655">
        <f t="shared" si="94"/>
        <v>586</v>
      </c>
      <c r="AA655">
        <v>496</v>
      </c>
      <c r="AB655">
        <f t="shared" si="95"/>
        <v>349</v>
      </c>
      <c r="AC655">
        <v>202</v>
      </c>
    </row>
    <row r="656" spans="1:29" x14ac:dyDescent="0.25">
      <c r="A656" t="s">
        <v>663</v>
      </c>
      <c r="B656">
        <v>1051</v>
      </c>
      <c r="C656">
        <v>926</v>
      </c>
      <c r="D656">
        <v>763</v>
      </c>
      <c r="E656">
        <f t="shared" si="88"/>
        <v>654</v>
      </c>
      <c r="F656">
        <v>544</v>
      </c>
      <c r="G656">
        <f t="shared" si="89"/>
        <v>375</v>
      </c>
      <c r="H656">
        <v>206</v>
      </c>
      <c r="I656">
        <v>909</v>
      </c>
      <c r="J656">
        <v>786</v>
      </c>
      <c r="K656">
        <v>634</v>
      </c>
      <c r="L656">
        <f t="shared" si="90"/>
        <v>538</v>
      </c>
      <c r="M656">
        <v>442</v>
      </c>
      <c r="N656">
        <f t="shared" si="91"/>
        <v>303</v>
      </c>
      <c r="O656">
        <v>164</v>
      </c>
      <c r="P656">
        <v>788</v>
      </c>
      <c r="Q656">
        <v>708</v>
      </c>
      <c r="R656">
        <v>597</v>
      </c>
      <c r="S656">
        <f t="shared" si="92"/>
        <v>520</v>
      </c>
      <c r="T656">
        <v>442</v>
      </c>
      <c r="U656">
        <f t="shared" si="93"/>
        <v>311</v>
      </c>
      <c r="V656">
        <v>180</v>
      </c>
      <c r="W656">
        <v>681</v>
      </c>
      <c r="X656">
        <v>601</v>
      </c>
      <c r="Y656">
        <v>496</v>
      </c>
      <c r="Z656">
        <f t="shared" si="94"/>
        <v>428</v>
      </c>
      <c r="AA656">
        <v>360</v>
      </c>
      <c r="AB656">
        <f t="shared" si="95"/>
        <v>252</v>
      </c>
      <c r="AC656">
        <v>143</v>
      </c>
    </row>
    <row r="657" spans="1:29" x14ac:dyDescent="0.25">
      <c r="A657" t="s">
        <v>664</v>
      </c>
      <c r="B657">
        <v>890</v>
      </c>
      <c r="C657">
        <v>791</v>
      </c>
      <c r="D657">
        <v>657</v>
      </c>
      <c r="E657">
        <f t="shared" si="88"/>
        <v>564</v>
      </c>
      <c r="F657">
        <v>471</v>
      </c>
      <c r="G657">
        <f t="shared" si="89"/>
        <v>325</v>
      </c>
      <c r="H657">
        <v>178</v>
      </c>
      <c r="I657">
        <v>856</v>
      </c>
      <c r="J657">
        <v>742</v>
      </c>
      <c r="K657">
        <v>601</v>
      </c>
      <c r="L657">
        <f t="shared" si="90"/>
        <v>511</v>
      </c>
      <c r="M657">
        <v>420</v>
      </c>
      <c r="N657">
        <f t="shared" si="91"/>
        <v>287</v>
      </c>
      <c r="O657">
        <v>154</v>
      </c>
      <c r="P657">
        <v>667</v>
      </c>
      <c r="Q657">
        <v>605</v>
      </c>
      <c r="R657">
        <v>515</v>
      </c>
      <c r="S657">
        <f t="shared" si="92"/>
        <v>449</v>
      </c>
      <c r="T657">
        <v>383</v>
      </c>
      <c r="U657">
        <f t="shared" si="93"/>
        <v>269</v>
      </c>
      <c r="V657">
        <v>155</v>
      </c>
      <c r="W657">
        <v>642</v>
      </c>
      <c r="X657">
        <v>568</v>
      </c>
      <c r="Y657">
        <v>471</v>
      </c>
      <c r="Z657">
        <f t="shared" si="94"/>
        <v>406</v>
      </c>
      <c r="AA657">
        <v>341</v>
      </c>
      <c r="AB657">
        <f t="shared" si="95"/>
        <v>238</v>
      </c>
      <c r="AC657">
        <v>134</v>
      </c>
    </row>
    <row r="658" spans="1:29" x14ac:dyDescent="0.25">
      <c r="A658" t="s">
        <v>665</v>
      </c>
      <c r="B658">
        <v>821</v>
      </c>
      <c r="C658">
        <v>726</v>
      </c>
      <c r="D658">
        <v>584</v>
      </c>
      <c r="E658">
        <f t="shared" si="88"/>
        <v>497</v>
      </c>
      <c r="F658">
        <v>409</v>
      </c>
      <c r="G658">
        <f t="shared" si="89"/>
        <v>280</v>
      </c>
      <c r="H658">
        <v>151</v>
      </c>
      <c r="I658">
        <v>821</v>
      </c>
      <c r="J658">
        <v>726</v>
      </c>
      <c r="K658">
        <v>584</v>
      </c>
      <c r="L658">
        <f t="shared" si="90"/>
        <v>497</v>
      </c>
      <c r="M658">
        <v>409</v>
      </c>
      <c r="N658">
        <f t="shared" si="91"/>
        <v>280</v>
      </c>
      <c r="O658">
        <v>151</v>
      </c>
      <c r="P658">
        <v>615</v>
      </c>
      <c r="Q658">
        <v>555</v>
      </c>
      <c r="R658">
        <v>457</v>
      </c>
      <c r="S658">
        <f t="shared" si="92"/>
        <v>395</v>
      </c>
      <c r="T658">
        <v>332</v>
      </c>
      <c r="U658">
        <f t="shared" si="93"/>
        <v>232</v>
      </c>
      <c r="V658">
        <v>131</v>
      </c>
      <c r="W658">
        <v>615</v>
      </c>
      <c r="X658">
        <v>555</v>
      </c>
      <c r="Y658">
        <v>457</v>
      </c>
      <c r="Z658">
        <f t="shared" si="94"/>
        <v>395</v>
      </c>
      <c r="AA658">
        <v>332</v>
      </c>
      <c r="AB658">
        <f t="shared" si="95"/>
        <v>232</v>
      </c>
      <c r="AC658">
        <v>131</v>
      </c>
    </row>
    <row r="659" spans="1:29" x14ac:dyDescent="0.25">
      <c r="A659" t="s">
        <v>666</v>
      </c>
      <c r="B659">
        <v>768</v>
      </c>
      <c r="C659">
        <v>682</v>
      </c>
      <c r="D659">
        <v>552</v>
      </c>
      <c r="E659">
        <f t="shared" si="88"/>
        <v>470</v>
      </c>
      <c r="F659">
        <v>387</v>
      </c>
      <c r="G659">
        <f t="shared" si="89"/>
        <v>265</v>
      </c>
      <c r="H659">
        <v>143</v>
      </c>
      <c r="I659">
        <v>768</v>
      </c>
      <c r="J659">
        <v>682</v>
      </c>
      <c r="K659">
        <v>552</v>
      </c>
      <c r="L659">
        <f t="shared" si="90"/>
        <v>470</v>
      </c>
      <c r="M659">
        <v>387</v>
      </c>
      <c r="N659">
        <f t="shared" si="91"/>
        <v>265</v>
      </c>
      <c r="O659">
        <v>143</v>
      </c>
      <c r="P659">
        <v>576</v>
      </c>
      <c r="Q659">
        <v>522</v>
      </c>
      <c r="R659">
        <v>432</v>
      </c>
      <c r="S659">
        <f t="shared" si="92"/>
        <v>374</v>
      </c>
      <c r="T659">
        <v>315</v>
      </c>
      <c r="U659">
        <f t="shared" si="93"/>
        <v>220</v>
      </c>
      <c r="V659">
        <v>125</v>
      </c>
      <c r="W659">
        <v>576</v>
      </c>
      <c r="X659">
        <v>522</v>
      </c>
      <c r="Y659">
        <v>432</v>
      </c>
      <c r="Z659">
        <f t="shared" si="94"/>
        <v>374</v>
      </c>
      <c r="AA659">
        <v>315</v>
      </c>
      <c r="AB659">
        <f t="shared" si="95"/>
        <v>220</v>
      </c>
      <c r="AC659">
        <v>125</v>
      </c>
    </row>
    <row r="660" spans="1:29" x14ac:dyDescent="0.25">
      <c r="A660" t="s">
        <v>667</v>
      </c>
      <c r="B660">
        <v>715</v>
      </c>
      <c r="C660">
        <v>638</v>
      </c>
      <c r="D660">
        <v>525</v>
      </c>
      <c r="E660">
        <f t="shared" si="88"/>
        <v>446</v>
      </c>
      <c r="F660">
        <v>366</v>
      </c>
      <c r="G660">
        <f t="shared" si="89"/>
        <v>251</v>
      </c>
      <c r="H660">
        <v>136</v>
      </c>
      <c r="I660">
        <v>715</v>
      </c>
      <c r="J660">
        <v>638</v>
      </c>
      <c r="K660">
        <v>525</v>
      </c>
      <c r="L660">
        <f t="shared" si="90"/>
        <v>446</v>
      </c>
      <c r="M660">
        <v>366</v>
      </c>
      <c r="N660">
        <f t="shared" si="91"/>
        <v>251</v>
      </c>
      <c r="O660">
        <v>136</v>
      </c>
      <c r="P660">
        <v>536</v>
      </c>
      <c r="Q660">
        <v>488</v>
      </c>
      <c r="R660">
        <v>411</v>
      </c>
      <c r="S660">
        <f t="shared" si="92"/>
        <v>354</v>
      </c>
      <c r="T660">
        <v>297</v>
      </c>
      <c r="U660">
        <f t="shared" si="93"/>
        <v>208</v>
      </c>
      <c r="V660">
        <v>118</v>
      </c>
      <c r="W660">
        <v>536</v>
      </c>
      <c r="X660">
        <v>488</v>
      </c>
      <c r="Y660">
        <v>411</v>
      </c>
      <c r="Z660">
        <f t="shared" si="94"/>
        <v>354</v>
      </c>
      <c r="AA660">
        <v>297</v>
      </c>
      <c r="AB660">
        <f t="shared" si="95"/>
        <v>208</v>
      </c>
      <c r="AC660">
        <v>118</v>
      </c>
    </row>
    <row r="661" spans="1:29" x14ac:dyDescent="0.25">
      <c r="A661" t="s">
        <v>668</v>
      </c>
      <c r="B661">
        <v>656</v>
      </c>
      <c r="C661">
        <v>588</v>
      </c>
      <c r="D661">
        <v>485</v>
      </c>
      <c r="E661">
        <f t="shared" si="88"/>
        <v>414</v>
      </c>
      <c r="F661">
        <v>343</v>
      </c>
      <c r="G661">
        <f t="shared" si="89"/>
        <v>234</v>
      </c>
      <c r="H661">
        <v>124</v>
      </c>
      <c r="I661">
        <v>656</v>
      </c>
      <c r="J661">
        <v>588</v>
      </c>
      <c r="K661">
        <v>485</v>
      </c>
      <c r="L661">
        <f t="shared" si="90"/>
        <v>414</v>
      </c>
      <c r="M661">
        <v>343</v>
      </c>
      <c r="N661">
        <f t="shared" si="91"/>
        <v>234</v>
      </c>
      <c r="O661">
        <v>124</v>
      </c>
      <c r="P661">
        <v>492</v>
      </c>
      <c r="Q661">
        <v>450</v>
      </c>
      <c r="R661">
        <v>379</v>
      </c>
      <c r="S661">
        <f t="shared" si="92"/>
        <v>329</v>
      </c>
      <c r="T661">
        <v>279</v>
      </c>
      <c r="U661">
        <f t="shared" si="93"/>
        <v>194</v>
      </c>
      <c r="V661">
        <v>108</v>
      </c>
      <c r="W661">
        <v>492</v>
      </c>
      <c r="X661">
        <v>450</v>
      </c>
      <c r="Y661">
        <v>379</v>
      </c>
      <c r="Z661">
        <f t="shared" si="94"/>
        <v>329</v>
      </c>
      <c r="AA661">
        <v>279</v>
      </c>
      <c r="AB661">
        <f t="shared" si="95"/>
        <v>194</v>
      </c>
      <c r="AC661">
        <v>108</v>
      </c>
    </row>
    <row r="662" spans="1:29" x14ac:dyDescent="0.25">
      <c r="A662" t="s">
        <v>669</v>
      </c>
      <c r="B662">
        <v>1040</v>
      </c>
      <c r="C662">
        <v>914</v>
      </c>
      <c r="D662">
        <v>752</v>
      </c>
      <c r="E662">
        <f t="shared" si="88"/>
        <v>644</v>
      </c>
      <c r="F662">
        <v>535</v>
      </c>
      <c r="G662">
        <f t="shared" si="89"/>
        <v>369</v>
      </c>
      <c r="H662">
        <v>202</v>
      </c>
      <c r="I662">
        <v>904</v>
      </c>
      <c r="J662">
        <v>782</v>
      </c>
      <c r="K662">
        <v>630</v>
      </c>
      <c r="L662">
        <f t="shared" si="90"/>
        <v>535</v>
      </c>
      <c r="M662">
        <v>439</v>
      </c>
      <c r="N662">
        <f t="shared" si="91"/>
        <v>301</v>
      </c>
      <c r="O662">
        <v>162</v>
      </c>
      <c r="P662">
        <v>780</v>
      </c>
      <c r="Q662">
        <v>699</v>
      </c>
      <c r="R662">
        <v>589</v>
      </c>
      <c r="S662">
        <f t="shared" si="92"/>
        <v>512</v>
      </c>
      <c r="T662">
        <v>435</v>
      </c>
      <c r="U662">
        <f t="shared" si="93"/>
        <v>306</v>
      </c>
      <c r="V662">
        <v>176</v>
      </c>
      <c r="W662">
        <v>678</v>
      </c>
      <c r="X662">
        <v>598</v>
      </c>
      <c r="Y662">
        <v>494</v>
      </c>
      <c r="Z662">
        <f t="shared" si="94"/>
        <v>426</v>
      </c>
      <c r="AA662">
        <v>357</v>
      </c>
      <c r="AB662">
        <f t="shared" si="95"/>
        <v>249</v>
      </c>
      <c r="AC662">
        <v>141</v>
      </c>
    </row>
    <row r="663" spans="1:29" x14ac:dyDescent="0.25">
      <c r="A663" t="s">
        <v>670</v>
      </c>
      <c r="B663">
        <v>882</v>
      </c>
      <c r="C663">
        <v>782</v>
      </c>
      <c r="D663">
        <v>649</v>
      </c>
      <c r="E663">
        <f t="shared" si="88"/>
        <v>557</v>
      </c>
      <c r="F663">
        <v>465</v>
      </c>
      <c r="G663">
        <f t="shared" si="89"/>
        <v>321</v>
      </c>
      <c r="H663">
        <v>176</v>
      </c>
      <c r="I663">
        <v>853</v>
      </c>
      <c r="J663">
        <v>740</v>
      </c>
      <c r="K663">
        <v>599</v>
      </c>
      <c r="L663">
        <f t="shared" si="90"/>
        <v>508</v>
      </c>
      <c r="M663">
        <v>417</v>
      </c>
      <c r="N663">
        <f t="shared" si="91"/>
        <v>286</v>
      </c>
      <c r="O663">
        <v>154</v>
      </c>
      <c r="P663">
        <v>661</v>
      </c>
      <c r="Q663">
        <v>598</v>
      </c>
      <c r="R663">
        <v>508</v>
      </c>
      <c r="S663">
        <f t="shared" si="92"/>
        <v>443</v>
      </c>
      <c r="T663">
        <v>378</v>
      </c>
      <c r="U663">
        <f t="shared" si="93"/>
        <v>266</v>
      </c>
      <c r="V663">
        <v>153</v>
      </c>
      <c r="W663">
        <v>640</v>
      </c>
      <c r="X663">
        <v>566</v>
      </c>
      <c r="Y663">
        <v>469</v>
      </c>
      <c r="Z663">
        <f t="shared" si="94"/>
        <v>404</v>
      </c>
      <c r="AA663">
        <v>339</v>
      </c>
      <c r="AB663">
        <f t="shared" si="95"/>
        <v>237</v>
      </c>
      <c r="AC663">
        <v>134</v>
      </c>
    </row>
    <row r="664" spans="1:29" x14ac:dyDescent="0.25">
      <c r="A664" t="s">
        <v>671</v>
      </c>
      <c r="B664">
        <v>812</v>
      </c>
      <c r="C664">
        <v>719</v>
      </c>
      <c r="D664">
        <v>578</v>
      </c>
      <c r="E664">
        <f t="shared" si="88"/>
        <v>491</v>
      </c>
      <c r="F664">
        <v>404</v>
      </c>
      <c r="G664">
        <f t="shared" si="89"/>
        <v>276</v>
      </c>
      <c r="H664">
        <v>148</v>
      </c>
      <c r="I664">
        <v>812</v>
      </c>
      <c r="J664">
        <v>719</v>
      </c>
      <c r="K664">
        <v>578</v>
      </c>
      <c r="L664">
        <f t="shared" si="90"/>
        <v>491</v>
      </c>
      <c r="M664">
        <v>404</v>
      </c>
      <c r="N664">
        <f t="shared" si="91"/>
        <v>276</v>
      </c>
      <c r="O664">
        <v>148</v>
      </c>
      <c r="P664">
        <v>609</v>
      </c>
      <c r="Q664">
        <v>550</v>
      </c>
      <c r="R664">
        <v>453</v>
      </c>
      <c r="S664">
        <f t="shared" si="92"/>
        <v>391</v>
      </c>
      <c r="T664">
        <v>328</v>
      </c>
      <c r="U664">
        <f t="shared" si="93"/>
        <v>229</v>
      </c>
      <c r="V664">
        <v>129</v>
      </c>
      <c r="W664">
        <v>609</v>
      </c>
      <c r="X664">
        <v>550</v>
      </c>
      <c r="Y664">
        <v>453</v>
      </c>
      <c r="Z664">
        <f t="shared" si="94"/>
        <v>391</v>
      </c>
      <c r="AA664">
        <v>328</v>
      </c>
      <c r="AB664">
        <f t="shared" si="95"/>
        <v>229</v>
      </c>
      <c r="AC664">
        <v>129</v>
      </c>
    </row>
    <row r="665" spans="1:29" x14ac:dyDescent="0.25">
      <c r="A665" t="s">
        <v>672</v>
      </c>
      <c r="B665">
        <v>760</v>
      </c>
      <c r="C665">
        <v>676</v>
      </c>
      <c r="D665">
        <v>547</v>
      </c>
      <c r="E665">
        <f t="shared" si="88"/>
        <v>466</v>
      </c>
      <c r="F665">
        <v>384</v>
      </c>
      <c r="G665">
        <f t="shared" si="89"/>
        <v>263</v>
      </c>
      <c r="H665">
        <v>141</v>
      </c>
      <c r="I665">
        <v>760</v>
      </c>
      <c r="J665">
        <v>676</v>
      </c>
      <c r="K665">
        <v>547</v>
      </c>
      <c r="L665">
        <f t="shared" si="90"/>
        <v>466</v>
      </c>
      <c r="M665">
        <v>384</v>
      </c>
      <c r="N665">
        <f t="shared" si="91"/>
        <v>263</v>
      </c>
      <c r="O665">
        <v>141</v>
      </c>
      <c r="P665">
        <v>570</v>
      </c>
      <c r="Q665">
        <v>517</v>
      </c>
      <c r="R665">
        <v>428</v>
      </c>
      <c r="S665">
        <f t="shared" si="92"/>
        <v>370</v>
      </c>
      <c r="T665">
        <v>312</v>
      </c>
      <c r="U665">
        <f t="shared" si="93"/>
        <v>217</v>
      </c>
      <c r="V665">
        <v>122</v>
      </c>
      <c r="W665">
        <v>570</v>
      </c>
      <c r="X665">
        <v>517</v>
      </c>
      <c r="Y665">
        <v>428</v>
      </c>
      <c r="Z665">
        <f t="shared" si="94"/>
        <v>370</v>
      </c>
      <c r="AA665">
        <v>312</v>
      </c>
      <c r="AB665">
        <f t="shared" si="95"/>
        <v>217</v>
      </c>
      <c r="AC665">
        <v>122</v>
      </c>
    </row>
    <row r="666" spans="1:29" x14ac:dyDescent="0.25">
      <c r="A666" t="s">
        <v>673</v>
      </c>
      <c r="B666">
        <v>707</v>
      </c>
      <c r="C666">
        <v>630</v>
      </c>
      <c r="D666">
        <v>518</v>
      </c>
      <c r="E666">
        <f t="shared" si="88"/>
        <v>440</v>
      </c>
      <c r="F666">
        <v>362</v>
      </c>
      <c r="G666">
        <f t="shared" si="89"/>
        <v>249</v>
      </c>
      <c r="H666">
        <v>135</v>
      </c>
      <c r="I666">
        <v>707</v>
      </c>
      <c r="J666">
        <v>630</v>
      </c>
      <c r="K666">
        <v>518</v>
      </c>
      <c r="L666">
        <f t="shared" si="90"/>
        <v>440</v>
      </c>
      <c r="M666">
        <v>362</v>
      </c>
      <c r="N666">
        <f t="shared" si="91"/>
        <v>249</v>
      </c>
      <c r="O666">
        <v>135</v>
      </c>
      <c r="P666">
        <v>530</v>
      </c>
      <c r="Q666">
        <v>482</v>
      </c>
      <c r="R666">
        <v>406</v>
      </c>
      <c r="S666">
        <f t="shared" si="92"/>
        <v>350</v>
      </c>
      <c r="T666">
        <v>294</v>
      </c>
      <c r="U666">
        <f t="shared" si="93"/>
        <v>206</v>
      </c>
      <c r="V666">
        <v>117</v>
      </c>
      <c r="W666">
        <v>530</v>
      </c>
      <c r="X666">
        <v>482</v>
      </c>
      <c r="Y666">
        <v>406</v>
      </c>
      <c r="Z666">
        <f t="shared" si="94"/>
        <v>350</v>
      </c>
      <c r="AA666">
        <v>294</v>
      </c>
      <c r="AB666">
        <f t="shared" si="95"/>
        <v>206</v>
      </c>
      <c r="AC666">
        <v>117</v>
      </c>
    </row>
    <row r="667" spans="1:29" x14ac:dyDescent="0.25">
      <c r="A667" t="s">
        <v>674</v>
      </c>
      <c r="B667">
        <v>651</v>
      </c>
      <c r="C667">
        <v>583</v>
      </c>
      <c r="D667">
        <v>482</v>
      </c>
      <c r="E667">
        <f t="shared" si="88"/>
        <v>412</v>
      </c>
      <c r="F667">
        <v>342</v>
      </c>
      <c r="G667">
        <f t="shared" si="89"/>
        <v>233</v>
      </c>
      <c r="H667">
        <v>124</v>
      </c>
      <c r="I667">
        <v>651</v>
      </c>
      <c r="J667">
        <v>583</v>
      </c>
      <c r="K667">
        <v>482</v>
      </c>
      <c r="L667">
        <f t="shared" si="90"/>
        <v>412</v>
      </c>
      <c r="M667">
        <v>342</v>
      </c>
      <c r="N667">
        <f t="shared" si="91"/>
        <v>233</v>
      </c>
      <c r="O667">
        <v>124</v>
      </c>
      <c r="P667">
        <v>488</v>
      </c>
      <c r="Q667">
        <v>446</v>
      </c>
      <c r="R667">
        <v>377</v>
      </c>
      <c r="S667">
        <f t="shared" si="92"/>
        <v>328</v>
      </c>
      <c r="T667">
        <v>278</v>
      </c>
      <c r="U667">
        <f t="shared" si="93"/>
        <v>193</v>
      </c>
      <c r="V667">
        <v>108</v>
      </c>
      <c r="W667">
        <v>488</v>
      </c>
      <c r="X667">
        <v>446</v>
      </c>
      <c r="Y667">
        <v>377</v>
      </c>
      <c r="Z667">
        <f t="shared" si="94"/>
        <v>328</v>
      </c>
      <c r="AA667">
        <v>278</v>
      </c>
      <c r="AB667">
        <f t="shared" si="95"/>
        <v>193</v>
      </c>
      <c r="AC667">
        <v>108</v>
      </c>
    </row>
    <row r="668" spans="1:29" x14ac:dyDescent="0.25">
      <c r="A668" t="s">
        <v>675</v>
      </c>
      <c r="B668">
        <v>592</v>
      </c>
      <c r="C668">
        <v>531</v>
      </c>
      <c r="D668">
        <v>441</v>
      </c>
      <c r="E668">
        <f t="shared" si="88"/>
        <v>377</v>
      </c>
      <c r="F668">
        <v>313</v>
      </c>
      <c r="G668">
        <f t="shared" si="89"/>
        <v>213</v>
      </c>
      <c r="H668">
        <v>112</v>
      </c>
      <c r="I668">
        <v>592</v>
      </c>
      <c r="J668">
        <v>531</v>
      </c>
      <c r="K668">
        <v>441</v>
      </c>
      <c r="L668">
        <f t="shared" si="90"/>
        <v>377</v>
      </c>
      <c r="M668">
        <v>313</v>
      </c>
      <c r="N668">
        <f t="shared" si="91"/>
        <v>213</v>
      </c>
      <c r="O668">
        <v>112</v>
      </c>
      <c r="P668">
        <v>444</v>
      </c>
      <c r="Q668">
        <v>406</v>
      </c>
      <c r="R668">
        <v>345</v>
      </c>
      <c r="S668">
        <f t="shared" si="92"/>
        <v>300</v>
      </c>
      <c r="T668">
        <v>255</v>
      </c>
      <c r="U668">
        <f t="shared" si="93"/>
        <v>177</v>
      </c>
      <c r="V668">
        <v>98</v>
      </c>
      <c r="W668">
        <v>444</v>
      </c>
      <c r="X668">
        <v>406</v>
      </c>
      <c r="Y668">
        <v>345</v>
      </c>
      <c r="Z668">
        <f t="shared" si="94"/>
        <v>300</v>
      </c>
      <c r="AA668">
        <v>255</v>
      </c>
      <c r="AB668">
        <f t="shared" si="95"/>
        <v>177</v>
      </c>
      <c r="AC668">
        <v>98</v>
      </c>
    </row>
    <row r="669" spans="1:29" x14ac:dyDescent="0.25">
      <c r="A669" t="s">
        <v>676</v>
      </c>
      <c r="B669">
        <v>869</v>
      </c>
      <c r="C669">
        <v>769</v>
      </c>
      <c r="D669">
        <v>636</v>
      </c>
      <c r="E669">
        <f t="shared" si="88"/>
        <v>546</v>
      </c>
      <c r="F669">
        <v>455</v>
      </c>
      <c r="G669">
        <f t="shared" si="89"/>
        <v>313</v>
      </c>
      <c r="H669">
        <v>171</v>
      </c>
      <c r="I669">
        <v>869</v>
      </c>
      <c r="J669">
        <v>769</v>
      </c>
      <c r="K669">
        <v>636</v>
      </c>
      <c r="L669">
        <f t="shared" si="90"/>
        <v>546</v>
      </c>
      <c r="M669">
        <v>455</v>
      </c>
      <c r="N669">
        <f t="shared" si="91"/>
        <v>313</v>
      </c>
      <c r="O669">
        <v>171</v>
      </c>
      <c r="P669">
        <v>651</v>
      </c>
      <c r="Q669">
        <v>589</v>
      </c>
      <c r="R669">
        <v>498</v>
      </c>
      <c r="S669">
        <f t="shared" si="92"/>
        <v>434</v>
      </c>
      <c r="T669">
        <v>370</v>
      </c>
      <c r="U669">
        <f t="shared" si="93"/>
        <v>260</v>
      </c>
      <c r="V669">
        <v>149</v>
      </c>
      <c r="W669">
        <v>651</v>
      </c>
      <c r="X669">
        <v>589</v>
      </c>
      <c r="Y669">
        <v>498</v>
      </c>
      <c r="Z669">
        <f t="shared" si="94"/>
        <v>434</v>
      </c>
      <c r="AA669">
        <v>370</v>
      </c>
      <c r="AB669">
        <f t="shared" si="95"/>
        <v>260</v>
      </c>
      <c r="AC669">
        <v>149</v>
      </c>
    </row>
    <row r="670" spans="1:29" x14ac:dyDescent="0.25">
      <c r="A670" t="s">
        <v>677</v>
      </c>
      <c r="B670">
        <v>803</v>
      </c>
      <c r="C670">
        <v>711</v>
      </c>
      <c r="D670">
        <v>571</v>
      </c>
      <c r="E670">
        <f t="shared" si="88"/>
        <v>485</v>
      </c>
      <c r="F670">
        <v>399</v>
      </c>
      <c r="G670">
        <f t="shared" si="89"/>
        <v>273</v>
      </c>
      <c r="H670">
        <v>146</v>
      </c>
      <c r="I670">
        <v>803</v>
      </c>
      <c r="J670">
        <v>711</v>
      </c>
      <c r="K670">
        <v>571</v>
      </c>
      <c r="L670">
        <f t="shared" si="90"/>
        <v>485</v>
      </c>
      <c r="M670">
        <v>399</v>
      </c>
      <c r="N670">
        <f t="shared" si="91"/>
        <v>273</v>
      </c>
      <c r="O670">
        <v>146</v>
      </c>
      <c r="P670">
        <v>602</v>
      </c>
      <c r="Q670">
        <v>544</v>
      </c>
      <c r="R670">
        <v>447</v>
      </c>
      <c r="S670">
        <f t="shared" si="92"/>
        <v>386</v>
      </c>
      <c r="T670">
        <v>324</v>
      </c>
      <c r="U670">
        <f t="shared" si="93"/>
        <v>226</v>
      </c>
      <c r="V670">
        <v>128</v>
      </c>
      <c r="W670">
        <v>602</v>
      </c>
      <c r="X670">
        <v>544</v>
      </c>
      <c r="Y670">
        <v>447</v>
      </c>
      <c r="Z670">
        <f t="shared" si="94"/>
        <v>386</v>
      </c>
      <c r="AA670">
        <v>324</v>
      </c>
      <c r="AB670">
        <f t="shared" si="95"/>
        <v>226</v>
      </c>
      <c r="AC670">
        <v>128</v>
      </c>
    </row>
    <row r="671" spans="1:29" x14ac:dyDescent="0.25">
      <c r="A671" t="s">
        <v>678</v>
      </c>
      <c r="B671">
        <v>752</v>
      </c>
      <c r="C671">
        <v>667</v>
      </c>
      <c r="D671">
        <v>539</v>
      </c>
      <c r="E671">
        <f t="shared" si="88"/>
        <v>459</v>
      </c>
      <c r="F671">
        <v>379</v>
      </c>
      <c r="G671">
        <f t="shared" si="89"/>
        <v>259</v>
      </c>
      <c r="H671">
        <v>139</v>
      </c>
      <c r="I671">
        <v>752</v>
      </c>
      <c r="J671">
        <v>667</v>
      </c>
      <c r="K671">
        <v>539</v>
      </c>
      <c r="L671">
        <f t="shared" si="90"/>
        <v>459</v>
      </c>
      <c r="M671">
        <v>379</v>
      </c>
      <c r="N671">
        <f t="shared" si="91"/>
        <v>259</v>
      </c>
      <c r="O671">
        <v>139</v>
      </c>
      <c r="P671">
        <v>563</v>
      </c>
      <c r="Q671">
        <v>510</v>
      </c>
      <c r="R671">
        <v>422</v>
      </c>
      <c r="S671">
        <f t="shared" si="92"/>
        <v>365</v>
      </c>
      <c r="T671">
        <v>307</v>
      </c>
      <c r="U671">
        <f t="shared" si="93"/>
        <v>214</v>
      </c>
      <c r="V671">
        <v>121</v>
      </c>
      <c r="W671">
        <v>563</v>
      </c>
      <c r="X671">
        <v>510</v>
      </c>
      <c r="Y671">
        <v>422</v>
      </c>
      <c r="Z671">
        <f t="shared" si="94"/>
        <v>365</v>
      </c>
      <c r="AA671">
        <v>307</v>
      </c>
      <c r="AB671">
        <f t="shared" si="95"/>
        <v>214</v>
      </c>
      <c r="AC671">
        <v>121</v>
      </c>
    </row>
    <row r="672" spans="1:29" x14ac:dyDescent="0.25">
      <c r="A672" t="s">
        <v>679</v>
      </c>
      <c r="B672">
        <v>699</v>
      </c>
      <c r="C672">
        <v>622</v>
      </c>
      <c r="D672">
        <v>511</v>
      </c>
      <c r="E672">
        <f t="shared" si="88"/>
        <v>434</v>
      </c>
      <c r="F672">
        <v>357</v>
      </c>
      <c r="G672">
        <f t="shared" si="89"/>
        <v>245</v>
      </c>
      <c r="H672">
        <v>133</v>
      </c>
      <c r="I672">
        <v>699</v>
      </c>
      <c r="J672">
        <v>622</v>
      </c>
      <c r="K672">
        <v>511</v>
      </c>
      <c r="L672">
        <f t="shared" si="90"/>
        <v>434</v>
      </c>
      <c r="M672">
        <v>357</v>
      </c>
      <c r="N672">
        <f t="shared" si="91"/>
        <v>245</v>
      </c>
      <c r="O672">
        <v>133</v>
      </c>
      <c r="P672">
        <v>524</v>
      </c>
      <c r="Q672">
        <v>476</v>
      </c>
      <c r="R672">
        <v>400</v>
      </c>
      <c r="S672">
        <f t="shared" si="92"/>
        <v>345</v>
      </c>
      <c r="T672">
        <v>290</v>
      </c>
      <c r="U672">
        <f t="shared" si="93"/>
        <v>203</v>
      </c>
      <c r="V672">
        <v>116</v>
      </c>
      <c r="W672">
        <v>524</v>
      </c>
      <c r="X672">
        <v>476</v>
      </c>
      <c r="Y672">
        <v>400</v>
      </c>
      <c r="Z672">
        <f t="shared" si="94"/>
        <v>345</v>
      </c>
      <c r="AA672">
        <v>290</v>
      </c>
      <c r="AB672">
        <f t="shared" si="95"/>
        <v>203</v>
      </c>
      <c r="AC672">
        <v>116</v>
      </c>
    </row>
    <row r="673" spans="1:29" x14ac:dyDescent="0.25">
      <c r="A673" t="s">
        <v>680</v>
      </c>
      <c r="B673">
        <v>645</v>
      </c>
      <c r="C673">
        <v>576</v>
      </c>
      <c r="D673">
        <v>476</v>
      </c>
      <c r="E673">
        <f t="shared" si="88"/>
        <v>408</v>
      </c>
      <c r="F673">
        <v>340</v>
      </c>
      <c r="G673">
        <f t="shared" si="89"/>
        <v>232</v>
      </c>
      <c r="H673">
        <v>124</v>
      </c>
      <c r="I673">
        <v>645</v>
      </c>
      <c r="J673">
        <v>576</v>
      </c>
      <c r="K673">
        <v>476</v>
      </c>
      <c r="L673">
        <f t="shared" si="90"/>
        <v>408</v>
      </c>
      <c r="M673">
        <v>340</v>
      </c>
      <c r="N673">
        <f t="shared" si="91"/>
        <v>232</v>
      </c>
      <c r="O673">
        <v>124</v>
      </c>
      <c r="P673">
        <v>483</v>
      </c>
      <c r="Q673">
        <v>441</v>
      </c>
      <c r="R673">
        <v>372</v>
      </c>
      <c r="S673">
        <f t="shared" si="92"/>
        <v>324</v>
      </c>
      <c r="T673">
        <v>276</v>
      </c>
      <c r="U673">
        <f t="shared" si="93"/>
        <v>192</v>
      </c>
      <c r="V673">
        <v>108</v>
      </c>
      <c r="W673">
        <v>483</v>
      </c>
      <c r="X673">
        <v>441</v>
      </c>
      <c r="Y673">
        <v>372</v>
      </c>
      <c r="Z673">
        <f t="shared" si="94"/>
        <v>324</v>
      </c>
      <c r="AA673">
        <v>276</v>
      </c>
      <c r="AB673">
        <f t="shared" si="95"/>
        <v>192</v>
      </c>
      <c r="AC673">
        <v>108</v>
      </c>
    </row>
    <row r="674" spans="1:29" x14ac:dyDescent="0.25">
      <c r="A674" t="s">
        <v>681</v>
      </c>
      <c r="B674">
        <v>586</v>
      </c>
      <c r="C674">
        <v>526</v>
      </c>
      <c r="D674">
        <v>437</v>
      </c>
      <c r="E674">
        <f t="shared" si="88"/>
        <v>375</v>
      </c>
      <c r="F674">
        <v>312</v>
      </c>
      <c r="G674">
        <f t="shared" si="89"/>
        <v>213</v>
      </c>
      <c r="H674">
        <v>113</v>
      </c>
      <c r="I674">
        <v>586</v>
      </c>
      <c r="J674">
        <v>526</v>
      </c>
      <c r="K674">
        <v>437</v>
      </c>
      <c r="L674">
        <f t="shared" si="90"/>
        <v>375</v>
      </c>
      <c r="M674">
        <v>312</v>
      </c>
      <c r="N674">
        <f t="shared" si="91"/>
        <v>213</v>
      </c>
      <c r="O674">
        <v>113</v>
      </c>
      <c r="P674">
        <v>440</v>
      </c>
      <c r="Q674">
        <v>403</v>
      </c>
      <c r="R674">
        <v>342</v>
      </c>
      <c r="S674">
        <f t="shared" si="92"/>
        <v>298</v>
      </c>
      <c r="T674">
        <v>253</v>
      </c>
      <c r="U674">
        <f t="shared" si="93"/>
        <v>176</v>
      </c>
      <c r="V674">
        <v>99</v>
      </c>
      <c r="W674">
        <v>440</v>
      </c>
      <c r="X674">
        <v>403</v>
      </c>
      <c r="Y674">
        <v>342</v>
      </c>
      <c r="Z674">
        <f t="shared" si="94"/>
        <v>298</v>
      </c>
      <c r="AA674">
        <v>253</v>
      </c>
      <c r="AB674">
        <f t="shared" si="95"/>
        <v>176</v>
      </c>
      <c r="AC674">
        <v>99</v>
      </c>
    </row>
    <row r="675" spans="1:29" x14ac:dyDescent="0.25">
      <c r="A675" t="s">
        <v>682</v>
      </c>
      <c r="B675">
        <v>523</v>
      </c>
      <c r="C675">
        <v>472</v>
      </c>
      <c r="D675">
        <v>393</v>
      </c>
      <c r="E675">
        <f t="shared" si="88"/>
        <v>338</v>
      </c>
      <c r="F675">
        <v>282</v>
      </c>
      <c r="G675">
        <f t="shared" si="89"/>
        <v>192</v>
      </c>
      <c r="H675">
        <v>102</v>
      </c>
      <c r="I675">
        <v>523</v>
      </c>
      <c r="J675">
        <v>472</v>
      </c>
      <c r="K675">
        <v>393</v>
      </c>
      <c r="L675">
        <f t="shared" si="90"/>
        <v>338</v>
      </c>
      <c r="M675">
        <v>282</v>
      </c>
      <c r="N675">
        <f t="shared" si="91"/>
        <v>192</v>
      </c>
      <c r="O675">
        <v>102</v>
      </c>
      <c r="P675">
        <v>392</v>
      </c>
      <c r="Q675">
        <v>361</v>
      </c>
      <c r="R675">
        <v>308</v>
      </c>
      <c r="S675">
        <f t="shared" si="92"/>
        <v>269</v>
      </c>
      <c r="T675">
        <v>229</v>
      </c>
      <c r="U675">
        <f t="shared" si="93"/>
        <v>159</v>
      </c>
      <c r="V675">
        <v>88</v>
      </c>
      <c r="W675">
        <v>392</v>
      </c>
      <c r="X675">
        <v>361</v>
      </c>
      <c r="Y675">
        <v>308</v>
      </c>
      <c r="Z675">
        <f t="shared" si="94"/>
        <v>269</v>
      </c>
      <c r="AA675">
        <v>229</v>
      </c>
      <c r="AB675">
        <f t="shared" si="95"/>
        <v>159</v>
      </c>
      <c r="AC675">
        <v>88</v>
      </c>
    </row>
    <row r="676" spans="1:29" x14ac:dyDescent="0.25">
      <c r="A676" t="s">
        <v>683</v>
      </c>
      <c r="B676">
        <v>796</v>
      </c>
      <c r="C676">
        <v>702</v>
      </c>
      <c r="D676">
        <v>564</v>
      </c>
      <c r="E676">
        <f t="shared" si="88"/>
        <v>479</v>
      </c>
      <c r="F676">
        <v>394</v>
      </c>
      <c r="G676">
        <f t="shared" si="89"/>
        <v>269</v>
      </c>
      <c r="H676">
        <v>144</v>
      </c>
      <c r="I676">
        <v>796</v>
      </c>
      <c r="J676">
        <v>702</v>
      </c>
      <c r="K676">
        <v>564</v>
      </c>
      <c r="L676">
        <f t="shared" si="90"/>
        <v>479</v>
      </c>
      <c r="M676">
        <v>394</v>
      </c>
      <c r="N676">
        <f t="shared" si="91"/>
        <v>269</v>
      </c>
      <c r="O676">
        <v>144</v>
      </c>
      <c r="P676">
        <v>597</v>
      </c>
      <c r="Q676">
        <v>537</v>
      </c>
      <c r="R676">
        <v>441</v>
      </c>
      <c r="S676">
        <f t="shared" si="92"/>
        <v>381</v>
      </c>
      <c r="T676">
        <v>320</v>
      </c>
      <c r="U676">
        <f t="shared" si="93"/>
        <v>223</v>
      </c>
      <c r="V676">
        <v>125</v>
      </c>
      <c r="W676">
        <v>597</v>
      </c>
      <c r="X676">
        <v>537</v>
      </c>
      <c r="Y676">
        <v>441</v>
      </c>
      <c r="Z676">
        <f t="shared" si="94"/>
        <v>381</v>
      </c>
      <c r="AA676">
        <v>320</v>
      </c>
      <c r="AB676">
        <f t="shared" si="95"/>
        <v>223</v>
      </c>
      <c r="AC676">
        <v>125</v>
      </c>
    </row>
    <row r="677" spans="1:29" x14ac:dyDescent="0.25">
      <c r="A677" t="s">
        <v>684</v>
      </c>
      <c r="B677">
        <v>743</v>
      </c>
      <c r="C677">
        <v>659</v>
      </c>
      <c r="D677">
        <v>538</v>
      </c>
      <c r="E677">
        <f t="shared" si="88"/>
        <v>456</v>
      </c>
      <c r="F677">
        <v>374</v>
      </c>
      <c r="G677">
        <f t="shared" si="89"/>
        <v>256</v>
      </c>
      <c r="H677">
        <v>137</v>
      </c>
      <c r="I677">
        <v>743</v>
      </c>
      <c r="J677">
        <v>659</v>
      </c>
      <c r="K677">
        <v>538</v>
      </c>
      <c r="L677">
        <f t="shared" si="90"/>
        <v>456</v>
      </c>
      <c r="M677">
        <v>374</v>
      </c>
      <c r="N677">
        <f t="shared" si="91"/>
        <v>256</v>
      </c>
      <c r="O677">
        <v>137</v>
      </c>
      <c r="P677">
        <v>557</v>
      </c>
      <c r="Q677">
        <v>504</v>
      </c>
      <c r="R677">
        <v>421</v>
      </c>
      <c r="S677">
        <f t="shared" si="92"/>
        <v>363</v>
      </c>
      <c r="T677">
        <v>304</v>
      </c>
      <c r="U677">
        <f t="shared" si="93"/>
        <v>212</v>
      </c>
      <c r="V677">
        <v>119</v>
      </c>
      <c r="W677">
        <v>557</v>
      </c>
      <c r="X677">
        <v>504</v>
      </c>
      <c r="Y677">
        <v>421</v>
      </c>
      <c r="Z677">
        <f t="shared" si="94"/>
        <v>363</v>
      </c>
      <c r="AA677">
        <v>304</v>
      </c>
      <c r="AB677">
        <f t="shared" si="95"/>
        <v>212</v>
      </c>
      <c r="AC677">
        <v>119</v>
      </c>
    </row>
    <row r="678" spans="1:29" x14ac:dyDescent="0.25">
      <c r="A678" t="s">
        <v>685</v>
      </c>
      <c r="B678">
        <v>690</v>
      </c>
      <c r="C678">
        <v>614</v>
      </c>
      <c r="D678">
        <v>504</v>
      </c>
      <c r="E678">
        <f t="shared" si="88"/>
        <v>428</v>
      </c>
      <c r="F678">
        <v>352</v>
      </c>
      <c r="G678">
        <f t="shared" si="89"/>
        <v>241</v>
      </c>
      <c r="H678">
        <v>129</v>
      </c>
      <c r="I678">
        <v>690</v>
      </c>
      <c r="J678">
        <v>614</v>
      </c>
      <c r="K678">
        <v>504</v>
      </c>
      <c r="L678">
        <f t="shared" si="90"/>
        <v>428</v>
      </c>
      <c r="M678">
        <v>352</v>
      </c>
      <c r="N678">
        <f t="shared" si="91"/>
        <v>241</v>
      </c>
      <c r="O678">
        <v>129</v>
      </c>
      <c r="P678">
        <v>517</v>
      </c>
      <c r="Q678">
        <v>470</v>
      </c>
      <c r="R678">
        <v>394</v>
      </c>
      <c r="S678">
        <f t="shared" si="92"/>
        <v>340</v>
      </c>
      <c r="T678">
        <v>286</v>
      </c>
      <c r="U678">
        <f t="shared" si="93"/>
        <v>199</v>
      </c>
      <c r="V678">
        <v>112</v>
      </c>
      <c r="W678">
        <v>517</v>
      </c>
      <c r="X678">
        <v>470</v>
      </c>
      <c r="Y678">
        <v>394</v>
      </c>
      <c r="Z678">
        <f t="shared" si="94"/>
        <v>340</v>
      </c>
      <c r="AA678">
        <v>286</v>
      </c>
      <c r="AB678">
        <f t="shared" si="95"/>
        <v>199</v>
      </c>
      <c r="AC678">
        <v>112</v>
      </c>
    </row>
    <row r="679" spans="1:29" x14ac:dyDescent="0.25">
      <c r="A679" t="s">
        <v>686</v>
      </c>
      <c r="B679">
        <v>636</v>
      </c>
      <c r="C679">
        <v>569</v>
      </c>
      <c r="D679">
        <v>470</v>
      </c>
      <c r="E679">
        <f t="shared" si="88"/>
        <v>403</v>
      </c>
      <c r="F679">
        <v>335</v>
      </c>
      <c r="G679">
        <f t="shared" si="89"/>
        <v>229</v>
      </c>
      <c r="H679">
        <v>122</v>
      </c>
      <c r="I679">
        <v>636</v>
      </c>
      <c r="J679">
        <v>569</v>
      </c>
      <c r="K679">
        <v>470</v>
      </c>
      <c r="L679">
        <f t="shared" si="90"/>
        <v>403</v>
      </c>
      <c r="M679">
        <v>335</v>
      </c>
      <c r="N679">
        <f t="shared" si="91"/>
        <v>229</v>
      </c>
      <c r="O679">
        <v>122</v>
      </c>
      <c r="P679">
        <v>477</v>
      </c>
      <c r="Q679">
        <v>435</v>
      </c>
      <c r="R679">
        <v>368</v>
      </c>
      <c r="S679">
        <f t="shared" si="92"/>
        <v>320</v>
      </c>
      <c r="T679">
        <v>272</v>
      </c>
      <c r="U679">
        <f t="shared" si="93"/>
        <v>190</v>
      </c>
      <c r="V679">
        <v>107</v>
      </c>
      <c r="W679">
        <v>477</v>
      </c>
      <c r="X679">
        <v>435</v>
      </c>
      <c r="Y679">
        <v>368</v>
      </c>
      <c r="Z679">
        <f t="shared" si="94"/>
        <v>320</v>
      </c>
      <c r="AA679">
        <v>272</v>
      </c>
      <c r="AB679">
        <f t="shared" si="95"/>
        <v>190</v>
      </c>
      <c r="AC679">
        <v>107</v>
      </c>
    </row>
    <row r="680" spans="1:29" x14ac:dyDescent="0.25">
      <c r="A680" t="s">
        <v>687</v>
      </c>
      <c r="B680">
        <v>580</v>
      </c>
      <c r="C680">
        <v>522</v>
      </c>
      <c r="D680">
        <v>433</v>
      </c>
      <c r="E680">
        <f t="shared" si="88"/>
        <v>372</v>
      </c>
      <c r="F680">
        <v>310</v>
      </c>
      <c r="G680">
        <f t="shared" si="89"/>
        <v>212</v>
      </c>
      <c r="H680">
        <v>113</v>
      </c>
      <c r="I680">
        <v>580</v>
      </c>
      <c r="J680">
        <v>522</v>
      </c>
      <c r="K680">
        <v>433</v>
      </c>
      <c r="L680">
        <f t="shared" si="90"/>
        <v>372</v>
      </c>
      <c r="M680">
        <v>310</v>
      </c>
      <c r="N680">
        <f t="shared" si="91"/>
        <v>212</v>
      </c>
      <c r="O680">
        <v>113</v>
      </c>
      <c r="P680">
        <v>435</v>
      </c>
      <c r="Q680">
        <v>399</v>
      </c>
      <c r="R680">
        <v>339</v>
      </c>
      <c r="S680">
        <f t="shared" si="92"/>
        <v>296</v>
      </c>
      <c r="T680">
        <v>252</v>
      </c>
      <c r="U680">
        <f t="shared" si="93"/>
        <v>176</v>
      </c>
      <c r="V680">
        <v>99</v>
      </c>
      <c r="W680">
        <v>435</v>
      </c>
      <c r="X680">
        <v>399</v>
      </c>
      <c r="Y680">
        <v>339</v>
      </c>
      <c r="Z680">
        <f t="shared" si="94"/>
        <v>296</v>
      </c>
      <c r="AA680">
        <v>252</v>
      </c>
      <c r="AB680">
        <f t="shared" si="95"/>
        <v>176</v>
      </c>
      <c r="AC680">
        <v>99</v>
      </c>
    </row>
    <row r="681" spans="1:29" x14ac:dyDescent="0.25">
      <c r="A681" t="s">
        <v>688</v>
      </c>
      <c r="B681">
        <v>517</v>
      </c>
      <c r="C681">
        <v>467</v>
      </c>
      <c r="D681">
        <v>389</v>
      </c>
      <c r="E681">
        <f t="shared" si="88"/>
        <v>335</v>
      </c>
      <c r="F681">
        <v>280</v>
      </c>
      <c r="G681">
        <f t="shared" si="89"/>
        <v>191</v>
      </c>
      <c r="H681">
        <v>102</v>
      </c>
      <c r="I681">
        <v>517</v>
      </c>
      <c r="J681">
        <v>467</v>
      </c>
      <c r="K681">
        <v>389</v>
      </c>
      <c r="L681">
        <f t="shared" si="90"/>
        <v>335</v>
      </c>
      <c r="M681">
        <v>280</v>
      </c>
      <c r="N681">
        <f t="shared" si="91"/>
        <v>191</v>
      </c>
      <c r="O681">
        <v>102</v>
      </c>
      <c r="P681">
        <v>388</v>
      </c>
      <c r="Q681">
        <v>358</v>
      </c>
      <c r="R681">
        <v>305</v>
      </c>
      <c r="S681">
        <f t="shared" si="92"/>
        <v>266</v>
      </c>
      <c r="T681">
        <v>227</v>
      </c>
      <c r="U681">
        <f t="shared" si="93"/>
        <v>158</v>
      </c>
      <c r="V681">
        <v>88</v>
      </c>
      <c r="W681">
        <v>388</v>
      </c>
      <c r="X681">
        <v>358</v>
      </c>
      <c r="Y681">
        <v>305</v>
      </c>
      <c r="Z681">
        <f t="shared" si="94"/>
        <v>266</v>
      </c>
      <c r="AA681">
        <v>227</v>
      </c>
      <c r="AB681">
        <f t="shared" si="95"/>
        <v>158</v>
      </c>
      <c r="AC681">
        <v>88</v>
      </c>
    </row>
    <row r="682" spans="1:29" x14ac:dyDescent="0.25">
      <c r="A682" t="s">
        <v>689</v>
      </c>
      <c r="B682">
        <v>453</v>
      </c>
      <c r="C682">
        <v>410</v>
      </c>
      <c r="D682">
        <v>345</v>
      </c>
      <c r="E682">
        <f t="shared" si="88"/>
        <v>298</v>
      </c>
      <c r="F682">
        <v>250</v>
      </c>
      <c r="G682">
        <f t="shared" si="89"/>
        <v>171</v>
      </c>
      <c r="H682">
        <v>91</v>
      </c>
      <c r="I682">
        <v>453</v>
      </c>
      <c r="J682">
        <v>410</v>
      </c>
      <c r="K682">
        <v>345</v>
      </c>
      <c r="L682">
        <f t="shared" si="90"/>
        <v>298</v>
      </c>
      <c r="M682">
        <v>250</v>
      </c>
      <c r="N682">
        <f t="shared" si="91"/>
        <v>171</v>
      </c>
      <c r="O682">
        <v>91</v>
      </c>
      <c r="P682">
        <v>340</v>
      </c>
      <c r="Q682">
        <v>314</v>
      </c>
      <c r="R682">
        <v>270</v>
      </c>
      <c r="S682">
        <f t="shared" si="92"/>
        <v>237</v>
      </c>
      <c r="T682">
        <v>203</v>
      </c>
      <c r="U682">
        <f t="shared" si="93"/>
        <v>141</v>
      </c>
      <c r="V682">
        <v>79</v>
      </c>
      <c r="W682">
        <v>340</v>
      </c>
      <c r="X682">
        <v>314</v>
      </c>
      <c r="Y682">
        <v>270</v>
      </c>
      <c r="Z682">
        <f t="shared" si="94"/>
        <v>237</v>
      </c>
      <c r="AA682">
        <v>203</v>
      </c>
      <c r="AB682">
        <f t="shared" si="95"/>
        <v>141</v>
      </c>
      <c r="AC682">
        <v>79</v>
      </c>
    </row>
    <row r="683" spans="1:29" x14ac:dyDescent="0.25">
      <c r="A683" t="s">
        <v>690</v>
      </c>
      <c r="B683">
        <v>733</v>
      </c>
      <c r="C683">
        <v>650</v>
      </c>
      <c r="D683">
        <v>530</v>
      </c>
      <c r="E683">
        <f t="shared" si="88"/>
        <v>449</v>
      </c>
      <c r="F683">
        <v>367</v>
      </c>
      <c r="G683">
        <f t="shared" si="89"/>
        <v>251</v>
      </c>
      <c r="H683">
        <v>134</v>
      </c>
      <c r="I683">
        <v>733</v>
      </c>
      <c r="J683">
        <v>650</v>
      </c>
      <c r="K683">
        <v>530</v>
      </c>
      <c r="L683">
        <f t="shared" si="90"/>
        <v>449</v>
      </c>
      <c r="M683">
        <v>367</v>
      </c>
      <c r="N683">
        <f t="shared" si="91"/>
        <v>251</v>
      </c>
      <c r="O683">
        <v>134</v>
      </c>
      <c r="P683">
        <v>550</v>
      </c>
      <c r="Q683">
        <v>497</v>
      </c>
      <c r="R683">
        <v>415</v>
      </c>
      <c r="S683">
        <f t="shared" si="92"/>
        <v>357</v>
      </c>
      <c r="T683">
        <v>298</v>
      </c>
      <c r="U683">
        <f t="shared" si="93"/>
        <v>208</v>
      </c>
      <c r="V683">
        <v>117</v>
      </c>
      <c r="W683">
        <v>550</v>
      </c>
      <c r="X683">
        <v>497</v>
      </c>
      <c r="Y683">
        <v>415</v>
      </c>
      <c r="Z683">
        <f t="shared" si="94"/>
        <v>357</v>
      </c>
      <c r="AA683">
        <v>298</v>
      </c>
      <c r="AB683">
        <f t="shared" si="95"/>
        <v>208</v>
      </c>
      <c r="AC683">
        <v>117</v>
      </c>
    </row>
    <row r="684" spans="1:29" x14ac:dyDescent="0.25">
      <c r="A684" t="s">
        <v>691</v>
      </c>
      <c r="B684">
        <v>680</v>
      </c>
      <c r="C684">
        <v>605</v>
      </c>
      <c r="D684">
        <v>496</v>
      </c>
      <c r="E684">
        <f t="shared" si="88"/>
        <v>421</v>
      </c>
      <c r="F684">
        <v>346</v>
      </c>
      <c r="G684">
        <f t="shared" si="89"/>
        <v>236</v>
      </c>
      <c r="H684">
        <v>126</v>
      </c>
      <c r="I684">
        <v>680</v>
      </c>
      <c r="J684">
        <v>605</v>
      </c>
      <c r="K684">
        <v>496</v>
      </c>
      <c r="L684">
        <f t="shared" si="90"/>
        <v>421</v>
      </c>
      <c r="M684">
        <v>346</v>
      </c>
      <c r="N684">
        <f t="shared" si="91"/>
        <v>236</v>
      </c>
      <c r="O684">
        <v>126</v>
      </c>
      <c r="P684">
        <v>510</v>
      </c>
      <c r="Q684">
        <v>463</v>
      </c>
      <c r="R684">
        <v>388</v>
      </c>
      <c r="S684">
        <f t="shared" si="92"/>
        <v>335</v>
      </c>
      <c r="T684">
        <v>281</v>
      </c>
      <c r="U684">
        <f t="shared" si="93"/>
        <v>196</v>
      </c>
      <c r="V684">
        <v>110</v>
      </c>
      <c r="W684">
        <v>510</v>
      </c>
      <c r="X684">
        <v>463</v>
      </c>
      <c r="Y684">
        <v>388</v>
      </c>
      <c r="Z684">
        <f t="shared" si="94"/>
        <v>335</v>
      </c>
      <c r="AA684">
        <v>281</v>
      </c>
      <c r="AB684">
        <f t="shared" si="95"/>
        <v>196</v>
      </c>
      <c r="AC684">
        <v>110</v>
      </c>
    </row>
    <row r="685" spans="1:29" x14ac:dyDescent="0.25">
      <c r="A685" t="s">
        <v>692</v>
      </c>
      <c r="B685">
        <v>627</v>
      </c>
      <c r="C685">
        <v>560</v>
      </c>
      <c r="D685">
        <v>461</v>
      </c>
      <c r="E685">
        <f t="shared" si="88"/>
        <v>395</v>
      </c>
      <c r="F685">
        <v>328</v>
      </c>
      <c r="G685">
        <f t="shared" si="89"/>
        <v>225</v>
      </c>
      <c r="H685">
        <v>121</v>
      </c>
      <c r="I685">
        <v>627</v>
      </c>
      <c r="J685">
        <v>560</v>
      </c>
      <c r="K685">
        <v>461</v>
      </c>
      <c r="L685">
        <f t="shared" si="90"/>
        <v>395</v>
      </c>
      <c r="M685">
        <v>328</v>
      </c>
      <c r="N685">
        <f t="shared" si="91"/>
        <v>225</v>
      </c>
      <c r="O685">
        <v>121</v>
      </c>
      <c r="P685">
        <v>470</v>
      </c>
      <c r="Q685">
        <v>428</v>
      </c>
      <c r="R685">
        <v>361</v>
      </c>
      <c r="S685">
        <f t="shared" si="92"/>
        <v>314</v>
      </c>
      <c r="T685">
        <v>267</v>
      </c>
      <c r="U685">
        <f t="shared" si="93"/>
        <v>186</v>
      </c>
      <c r="V685">
        <v>105</v>
      </c>
      <c r="W685">
        <v>470</v>
      </c>
      <c r="X685">
        <v>428</v>
      </c>
      <c r="Y685">
        <v>361</v>
      </c>
      <c r="Z685">
        <f t="shared" si="94"/>
        <v>314</v>
      </c>
      <c r="AA685">
        <v>267</v>
      </c>
      <c r="AB685">
        <f t="shared" si="95"/>
        <v>186</v>
      </c>
      <c r="AC685">
        <v>105</v>
      </c>
    </row>
    <row r="686" spans="1:29" x14ac:dyDescent="0.25">
      <c r="A686" t="s">
        <v>693</v>
      </c>
      <c r="B686">
        <v>572</v>
      </c>
      <c r="C686">
        <v>513</v>
      </c>
      <c r="D686">
        <v>426</v>
      </c>
      <c r="E686">
        <f t="shared" si="88"/>
        <v>366</v>
      </c>
      <c r="F686">
        <v>305</v>
      </c>
      <c r="G686">
        <f t="shared" si="89"/>
        <v>209</v>
      </c>
      <c r="H686">
        <v>112</v>
      </c>
      <c r="I686">
        <v>572</v>
      </c>
      <c r="J686">
        <v>513</v>
      </c>
      <c r="K686">
        <v>426</v>
      </c>
      <c r="L686">
        <f t="shared" si="90"/>
        <v>366</v>
      </c>
      <c r="M686">
        <v>305</v>
      </c>
      <c r="N686">
        <f t="shared" si="91"/>
        <v>209</v>
      </c>
      <c r="O686">
        <v>112</v>
      </c>
      <c r="P686">
        <v>429</v>
      </c>
      <c r="Q686">
        <v>392</v>
      </c>
      <c r="R686">
        <v>333</v>
      </c>
      <c r="S686">
        <f t="shared" si="92"/>
        <v>290</v>
      </c>
      <c r="T686">
        <v>247</v>
      </c>
      <c r="U686">
        <f t="shared" si="93"/>
        <v>173</v>
      </c>
      <c r="V686">
        <v>98</v>
      </c>
      <c r="W686">
        <v>429</v>
      </c>
      <c r="X686">
        <v>392</v>
      </c>
      <c r="Y686">
        <v>333</v>
      </c>
      <c r="Z686">
        <f t="shared" si="94"/>
        <v>290</v>
      </c>
      <c r="AA686">
        <v>247</v>
      </c>
      <c r="AB686">
        <f t="shared" si="95"/>
        <v>173</v>
      </c>
      <c r="AC686">
        <v>98</v>
      </c>
    </row>
    <row r="687" spans="1:29" x14ac:dyDescent="0.25">
      <c r="A687" t="s">
        <v>694</v>
      </c>
      <c r="B687">
        <v>512</v>
      </c>
      <c r="C687">
        <v>462</v>
      </c>
      <c r="D687">
        <v>386</v>
      </c>
      <c r="E687">
        <f t="shared" si="88"/>
        <v>332</v>
      </c>
      <c r="F687">
        <v>278</v>
      </c>
      <c r="G687">
        <f t="shared" si="89"/>
        <v>190</v>
      </c>
      <c r="H687">
        <v>102</v>
      </c>
      <c r="I687">
        <v>512</v>
      </c>
      <c r="J687">
        <v>462</v>
      </c>
      <c r="K687">
        <v>386</v>
      </c>
      <c r="L687">
        <f t="shared" si="90"/>
        <v>332</v>
      </c>
      <c r="M687">
        <v>278</v>
      </c>
      <c r="N687">
        <f t="shared" si="91"/>
        <v>190</v>
      </c>
      <c r="O687">
        <v>102</v>
      </c>
      <c r="P687">
        <v>384</v>
      </c>
      <c r="Q687">
        <v>354</v>
      </c>
      <c r="R687">
        <v>302</v>
      </c>
      <c r="S687">
        <f t="shared" si="92"/>
        <v>264</v>
      </c>
      <c r="T687">
        <v>226</v>
      </c>
      <c r="U687">
        <f t="shared" si="93"/>
        <v>157</v>
      </c>
      <c r="V687">
        <v>88</v>
      </c>
      <c r="W687">
        <v>384</v>
      </c>
      <c r="X687">
        <v>354</v>
      </c>
      <c r="Y687">
        <v>302</v>
      </c>
      <c r="Z687">
        <f t="shared" si="94"/>
        <v>264</v>
      </c>
      <c r="AA687">
        <v>226</v>
      </c>
      <c r="AB687">
        <f t="shared" si="95"/>
        <v>157</v>
      </c>
      <c r="AC687">
        <v>88</v>
      </c>
    </row>
    <row r="688" spans="1:29" x14ac:dyDescent="0.25">
      <c r="A688" t="s">
        <v>695</v>
      </c>
      <c r="B688">
        <v>448</v>
      </c>
      <c r="C688">
        <v>406</v>
      </c>
      <c r="D688">
        <v>341</v>
      </c>
      <c r="E688">
        <f t="shared" si="88"/>
        <v>294</v>
      </c>
      <c r="F688">
        <v>247</v>
      </c>
      <c r="G688">
        <f t="shared" si="89"/>
        <v>169</v>
      </c>
      <c r="H688">
        <v>90</v>
      </c>
      <c r="I688">
        <v>448</v>
      </c>
      <c r="J688">
        <v>406</v>
      </c>
      <c r="K688">
        <v>341</v>
      </c>
      <c r="L688">
        <f t="shared" si="90"/>
        <v>294</v>
      </c>
      <c r="M688">
        <v>247</v>
      </c>
      <c r="N688">
        <f t="shared" si="91"/>
        <v>169</v>
      </c>
      <c r="O688">
        <v>90</v>
      </c>
      <c r="P688">
        <v>336</v>
      </c>
      <c r="Q688">
        <v>311</v>
      </c>
      <c r="R688">
        <v>267</v>
      </c>
      <c r="S688">
        <f t="shared" si="92"/>
        <v>234</v>
      </c>
      <c r="T688">
        <v>201</v>
      </c>
      <c r="U688">
        <f t="shared" si="93"/>
        <v>140</v>
      </c>
      <c r="V688">
        <v>78</v>
      </c>
      <c r="W688">
        <v>336</v>
      </c>
      <c r="X688">
        <v>311</v>
      </c>
      <c r="Y688">
        <v>267</v>
      </c>
      <c r="Z688">
        <f t="shared" si="94"/>
        <v>234</v>
      </c>
      <c r="AA688">
        <v>201</v>
      </c>
      <c r="AB688">
        <f t="shared" si="95"/>
        <v>140</v>
      </c>
      <c r="AC688">
        <v>78</v>
      </c>
    </row>
    <row r="689" spans="1:29" x14ac:dyDescent="0.25">
      <c r="A689" t="s">
        <v>696</v>
      </c>
      <c r="B689">
        <v>671</v>
      </c>
      <c r="C689">
        <v>596</v>
      </c>
      <c r="D689">
        <v>488</v>
      </c>
      <c r="E689">
        <f t="shared" si="88"/>
        <v>415</v>
      </c>
      <c r="F689">
        <v>341</v>
      </c>
      <c r="G689">
        <f t="shared" si="89"/>
        <v>233</v>
      </c>
      <c r="H689">
        <v>124</v>
      </c>
      <c r="I689">
        <v>671</v>
      </c>
      <c r="J689">
        <v>596</v>
      </c>
      <c r="K689">
        <v>488</v>
      </c>
      <c r="L689">
        <f t="shared" si="90"/>
        <v>415</v>
      </c>
      <c r="M689">
        <v>341</v>
      </c>
      <c r="N689">
        <f t="shared" si="91"/>
        <v>233</v>
      </c>
      <c r="O689">
        <v>124</v>
      </c>
      <c r="P689">
        <v>503</v>
      </c>
      <c r="Q689">
        <v>456</v>
      </c>
      <c r="R689">
        <v>382</v>
      </c>
      <c r="S689">
        <f t="shared" si="92"/>
        <v>330</v>
      </c>
      <c r="T689">
        <v>277</v>
      </c>
      <c r="U689">
        <f t="shared" si="93"/>
        <v>193</v>
      </c>
      <c r="V689">
        <v>108</v>
      </c>
      <c r="W689">
        <v>503</v>
      </c>
      <c r="X689">
        <v>456</v>
      </c>
      <c r="Y689">
        <v>382</v>
      </c>
      <c r="Z689">
        <f t="shared" si="94"/>
        <v>330</v>
      </c>
      <c r="AA689">
        <v>277</v>
      </c>
      <c r="AB689">
        <f t="shared" si="95"/>
        <v>193</v>
      </c>
      <c r="AC689">
        <v>108</v>
      </c>
    </row>
    <row r="690" spans="1:29" x14ac:dyDescent="0.25">
      <c r="A690" t="s">
        <v>697</v>
      </c>
      <c r="B690">
        <v>617</v>
      </c>
      <c r="C690">
        <v>551</v>
      </c>
      <c r="D690">
        <v>454</v>
      </c>
      <c r="E690">
        <f t="shared" si="88"/>
        <v>389</v>
      </c>
      <c r="F690">
        <v>324</v>
      </c>
      <c r="G690">
        <f t="shared" si="89"/>
        <v>221</v>
      </c>
      <c r="H690">
        <v>118</v>
      </c>
      <c r="I690">
        <v>617</v>
      </c>
      <c r="J690">
        <v>551</v>
      </c>
      <c r="K690">
        <v>454</v>
      </c>
      <c r="L690">
        <f t="shared" si="90"/>
        <v>389</v>
      </c>
      <c r="M690">
        <v>324</v>
      </c>
      <c r="N690">
        <f t="shared" si="91"/>
        <v>221</v>
      </c>
      <c r="O690">
        <v>118</v>
      </c>
      <c r="P690">
        <v>462</v>
      </c>
      <c r="Q690">
        <v>421</v>
      </c>
      <c r="R690">
        <v>355</v>
      </c>
      <c r="S690">
        <f t="shared" si="92"/>
        <v>309</v>
      </c>
      <c r="T690">
        <v>263</v>
      </c>
      <c r="U690">
        <f t="shared" si="93"/>
        <v>183</v>
      </c>
      <c r="V690">
        <v>103</v>
      </c>
      <c r="W690">
        <v>462</v>
      </c>
      <c r="X690">
        <v>421</v>
      </c>
      <c r="Y690">
        <v>355</v>
      </c>
      <c r="Z690">
        <f t="shared" si="94"/>
        <v>309</v>
      </c>
      <c r="AA690">
        <v>263</v>
      </c>
      <c r="AB690">
        <f t="shared" si="95"/>
        <v>183</v>
      </c>
      <c r="AC690">
        <v>103</v>
      </c>
    </row>
    <row r="691" spans="1:29" x14ac:dyDescent="0.25">
      <c r="A691" t="s">
        <v>698</v>
      </c>
      <c r="B691">
        <v>561</v>
      </c>
      <c r="C691">
        <v>504</v>
      </c>
      <c r="D691">
        <v>417</v>
      </c>
      <c r="E691">
        <f t="shared" si="88"/>
        <v>359</v>
      </c>
      <c r="F691">
        <v>300</v>
      </c>
      <c r="G691">
        <f t="shared" si="89"/>
        <v>206</v>
      </c>
      <c r="H691">
        <v>111</v>
      </c>
      <c r="I691">
        <v>561</v>
      </c>
      <c r="J691">
        <v>504</v>
      </c>
      <c r="K691">
        <v>417</v>
      </c>
      <c r="L691">
        <f t="shared" si="90"/>
        <v>359</v>
      </c>
      <c r="M691">
        <v>300</v>
      </c>
      <c r="N691">
        <f t="shared" si="91"/>
        <v>206</v>
      </c>
      <c r="O691">
        <v>111</v>
      </c>
      <c r="P691">
        <v>421</v>
      </c>
      <c r="Q691">
        <v>385</v>
      </c>
      <c r="R691">
        <v>327</v>
      </c>
      <c r="S691">
        <f t="shared" si="92"/>
        <v>285</v>
      </c>
      <c r="T691">
        <v>243</v>
      </c>
      <c r="U691">
        <f t="shared" si="93"/>
        <v>170</v>
      </c>
      <c r="V691">
        <v>96</v>
      </c>
      <c r="W691">
        <v>421</v>
      </c>
      <c r="X691">
        <v>385</v>
      </c>
      <c r="Y691">
        <v>327</v>
      </c>
      <c r="Z691">
        <f t="shared" si="94"/>
        <v>285</v>
      </c>
      <c r="AA691">
        <v>243</v>
      </c>
      <c r="AB691">
        <f t="shared" si="95"/>
        <v>170</v>
      </c>
      <c r="AC691">
        <v>96</v>
      </c>
    </row>
    <row r="692" spans="1:29" x14ac:dyDescent="0.25">
      <c r="A692" t="s">
        <v>699</v>
      </c>
      <c r="B692">
        <v>505</v>
      </c>
      <c r="C692">
        <v>456</v>
      </c>
      <c r="D692">
        <v>380</v>
      </c>
      <c r="E692">
        <f t="shared" si="88"/>
        <v>328</v>
      </c>
      <c r="F692">
        <v>275</v>
      </c>
      <c r="G692">
        <f t="shared" si="89"/>
        <v>189</v>
      </c>
      <c r="H692">
        <v>102</v>
      </c>
      <c r="I692">
        <v>505</v>
      </c>
      <c r="J692">
        <v>456</v>
      </c>
      <c r="K692">
        <v>380</v>
      </c>
      <c r="L692">
        <f t="shared" si="90"/>
        <v>328</v>
      </c>
      <c r="M692">
        <v>275</v>
      </c>
      <c r="N692">
        <f t="shared" si="91"/>
        <v>189</v>
      </c>
      <c r="O692">
        <v>102</v>
      </c>
      <c r="P692">
        <v>378</v>
      </c>
      <c r="Q692">
        <v>349</v>
      </c>
      <c r="R692">
        <v>297</v>
      </c>
      <c r="S692">
        <f t="shared" si="92"/>
        <v>260</v>
      </c>
      <c r="T692">
        <v>223</v>
      </c>
      <c r="U692">
        <f t="shared" si="93"/>
        <v>156</v>
      </c>
      <c r="V692">
        <v>88</v>
      </c>
      <c r="W692">
        <v>378</v>
      </c>
      <c r="X692">
        <v>349</v>
      </c>
      <c r="Y692">
        <v>297</v>
      </c>
      <c r="Z692">
        <f t="shared" si="94"/>
        <v>260</v>
      </c>
      <c r="AA692">
        <v>223</v>
      </c>
      <c r="AB692">
        <f t="shared" si="95"/>
        <v>156</v>
      </c>
      <c r="AC692">
        <v>88</v>
      </c>
    </row>
    <row r="693" spans="1:29" x14ac:dyDescent="0.25">
      <c r="A693" t="s">
        <v>700</v>
      </c>
      <c r="B693">
        <v>441</v>
      </c>
      <c r="C693">
        <v>401</v>
      </c>
      <c r="D693">
        <v>337</v>
      </c>
      <c r="E693">
        <f t="shared" si="88"/>
        <v>291</v>
      </c>
      <c r="F693">
        <v>244</v>
      </c>
      <c r="G693">
        <f t="shared" si="89"/>
        <v>167</v>
      </c>
      <c r="H693">
        <v>90</v>
      </c>
      <c r="I693">
        <v>441</v>
      </c>
      <c r="J693">
        <v>401</v>
      </c>
      <c r="K693">
        <v>337</v>
      </c>
      <c r="L693">
        <f t="shared" si="90"/>
        <v>291</v>
      </c>
      <c r="M693">
        <v>244</v>
      </c>
      <c r="N693">
        <f t="shared" si="91"/>
        <v>167</v>
      </c>
      <c r="O693">
        <v>90</v>
      </c>
      <c r="P693">
        <v>330</v>
      </c>
      <c r="Q693">
        <v>307</v>
      </c>
      <c r="R693">
        <v>264</v>
      </c>
      <c r="S693">
        <f t="shared" si="92"/>
        <v>232</v>
      </c>
      <c r="T693">
        <v>199</v>
      </c>
      <c r="U693">
        <f t="shared" si="93"/>
        <v>139</v>
      </c>
      <c r="V693">
        <v>78</v>
      </c>
      <c r="W693">
        <v>330</v>
      </c>
      <c r="X693">
        <v>307</v>
      </c>
      <c r="Y693">
        <v>264</v>
      </c>
      <c r="Z693">
        <f t="shared" si="94"/>
        <v>232</v>
      </c>
      <c r="AA693">
        <v>199</v>
      </c>
      <c r="AB693">
        <f t="shared" si="95"/>
        <v>139</v>
      </c>
      <c r="AC693">
        <v>78</v>
      </c>
    </row>
    <row r="694" spans="1:29" x14ac:dyDescent="0.25">
      <c r="A694" t="s">
        <v>701</v>
      </c>
      <c r="B694">
        <v>607</v>
      </c>
      <c r="C694">
        <v>541</v>
      </c>
      <c r="D694">
        <v>446</v>
      </c>
      <c r="E694">
        <f t="shared" si="88"/>
        <v>382</v>
      </c>
      <c r="F694">
        <v>317</v>
      </c>
      <c r="G694">
        <f t="shared" si="89"/>
        <v>217</v>
      </c>
      <c r="H694">
        <v>117</v>
      </c>
      <c r="I694">
        <v>607</v>
      </c>
      <c r="J694">
        <v>541</v>
      </c>
      <c r="K694">
        <v>446</v>
      </c>
      <c r="L694">
        <f t="shared" si="90"/>
        <v>382</v>
      </c>
      <c r="M694">
        <v>317</v>
      </c>
      <c r="N694">
        <f t="shared" si="91"/>
        <v>217</v>
      </c>
      <c r="O694">
        <v>117</v>
      </c>
      <c r="P694">
        <v>455</v>
      </c>
      <c r="Q694">
        <v>414</v>
      </c>
      <c r="R694">
        <v>349</v>
      </c>
      <c r="S694">
        <f t="shared" si="92"/>
        <v>304</v>
      </c>
      <c r="T694">
        <v>258</v>
      </c>
      <c r="U694">
        <f t="shared" si="93"/>
        <v>180</v>
      </c>
      <c r="V694">
        <v>102</v>
      </c>
      <c r="W694">
        <v>455</v>
      </c>
      <c r="X694">
        <v>414</v>
      </c>
      <c r="Y694">
        <v>349</v>
      </c>
      <c r="Z694">
        <f t="shared" si="94"/>
        <v>304</v>
      </c>
      <c r="AA694">
        <v>258</v>
      </c>
      <c r="AB694">
        <f t="shared" si="95"/>
        <v>180</v>
      </c>
      <c r="AC694">
        <v>102</v>
      </c>
    </row>
    <row r="695" spans="1:29" x14ac:dyDescent="0.25">
      <c r="A695" t="s">
        <v>702</v>
      </c>
      <c r="B695">
        <v>551</v>
      </c>
      <c r="C695">
        <v>495</v>
      </c>
      <c r="D695">
        <v>409</v>
      </c>
      <c r="E695">
        <f t="shared" si="88"/>
        <v>351</v>
      </c>
      <c r="F695">
        <v>293</v>
      </c>
      <c r="G695">
        <f t="shared" si="89"/>
        <v>201</v>
      </c>
      <c r="H695">
        <v>108</v>
      </c>
      <c r="I695">
        <v>551</v>
      </c>
      <c r="J695">
        <v>495</v>
      </c>
      <c r="K695">
        <v>409</v>
      </c>
      <c r="L695">
        <f t="shared" si="90"/>
        <v>351</v>
      </c>
      <c r="M695">
        <v>293</v>
      </c>
      <c r="N695">
        <f t="shared" si="91"/>
        <v>201</v>
      </c>
      <c r="O695">
        <v>108</v>
      </c>
      <c r="P695">
        <v>413</v>
      </c>
      <c r="Q695">
        <v>378</v>
      </c>
      <c r="R695">
        <v>320</v>
      </c>
      <c r="S695">
        <f t="shared" si="92"/>
        <v>279</v>
      </c>
      <c r="T695">
        <v>238</v>
      </c>
      <c r="U695">
        <f t="shared" si="93"/>
        <v>166</v>
      </c>
      <c r="V695">
        <v>94</v>
      </c>
      <c r="W695">
        <v>413</v>
      </c>
      <c r="X695">
        <v>378</v>
      </c>
      <c r="Y695">
        <v>320</v>
      </c>
      <c r="Z695">
        <f t="shared" si="94"/>
        <v>279</v>
      </c>
      <c r="AA695">
        <v>238</v>
      </c>
      <c r="AB695">
        <f t="shared" si="95"/>
        <v>166</v>
      </c>
      <c r="AC695">
        <v>94</v>
      </c>
    </row>
    <row r="696" spans="1:29" x14ac:dyDescent="0.25">
      <c r="A696" t="s">
        <v>703</v>
      </c>
      <c r="B696">
        <v>495</v>
      </c>
      <c r="C696">
        <v>446</v>
      </c>
      <c r="D696">
        <v>372</v>
      </c>
      <c r="E696">
        <f t="shared" si="88"/>
        <v>321</v>
      </c>
      <c r="F696">
        <v>269</v>
      </c>
      <c r="G696">
        <f t="shared" si="89"/>
        <v>185</v>
      </c>
      <c r="H696">
        <v>100</v>
      </c>
      <c r="I696">
        <v>495</v>
      </c>
      <c r="J696">
        <v>446</v>
      </c>
      <c r="K696">
        <v>372</v>
      </c>
      <c r="L696">
        <f t="shared" si="90"/>
        <v>321</v>
      </c>
      <c r="M696">
        <v>269</v>
      </c>
      <c r="N696">
        <f t="shared" si="91"/>
        <v>185</v>
      </c>
      <c r="O696">
        <v>100</v>
      </c>
      <c r="P696">
        <v>371</v>
      </c>
      <c r="Q696">
        <v>341</v>
      </c>
      <c r="R696">
        <v>291</v>
      </c>
      <c r="S696">
        <f t="shared" si="92"/>
        <v>255</v>
      </c>
      <c r="T696">
        <v>219</v>
      </c>
      <c r="U696">
        <f t="shared" si="93"/>
        <v>153</v>
      </c>
      <c r="V696">
        <v>87</v>
      </c>
      <c r="W696">
        <v>371</v>
      </c>
      <c r="X696">
        <v>341</v>
      </c>
      <c r="Y696">
        <v>291</v>
      </c>
      <c r="Z696">
        <f t="shared" si="94"/>
        <v>255</v>
      </c>
      <c r="AA696">
        <v>219</v>
      </c>
      <c r="AB696">
        <f t="shared" si="95"/>
        <v>153</v>
      </c>
      <c r="AC696">
        <v>87</v>
      </c>
    </row>
    <row r="697" spans="1:29" x14ac:dyDescent="0.25">
      <c r="A697" t="s">
        <v>704</v>
      </c>
      <c r="B697">
        <v>435</v>
      </c>
      <c r="C697">
        <v>395</v>
      </c>
      <c r="D697">
        <v>331</v>
      </c>
      <c r="E697">
        <f t="shared" si="88"/>
        <v>287</v>
      </c>
      <c r="F697">
        <v>242</v>
      </c>
      <c r="G697">
        <f t="shared" si="89"/>
        <v>166</v>
      </c>
      <c r="H697">
        <v>90</v>
      </c>
      <c r="I697">
        <v>435</v>
      </c>
      <c r="J697">
        <v>395</v>
      </c>
      <c r="K697">
        <v>331</v>
      </c>
      <c r="L697">
        <f t="shared" si="90"/>
        <v>287</v>
      </c>
      <c r="M697">
        <v>242</v>
      </c>
      <c r="N697">
        <f t="shared" si="91"/>
        <v>166</v>
      </c>
      <c r="O697">
        <v>90</v>
      </c>
      <c r="P697">
        <v>326</v>
      </c>
      <c r="Q697">
        <v>302</v>
      </c>
      <c r="R697">
        <v>259</v>
      </c>
      <c r="S697">
        <f t="shared" si="92"/>
        <v>228</v>
      </c>
      <c r="T697">
        <v>197</v>
      </c>
      <c r="U697">
        <f t="shared" si="93"/>
        <v>138</v>
      </c>
      <c r="V697">
        <v>78</v>
      </c>
      <c r="W697">
        <v>326</v>
      </c>
      <c r="X697">
        <v>302</v>
      </c>
      <c r="Y697">
        <v>259</v>
      </c>
      <c r="Z697">
        <f t="shared" si="94"/>
        <v>228</v>
      </c>
      <c r="AA697">
        <v>197</v>
      </c>
      <c r="AB697">
        <f t="shared" si="95"/>
        <v>138</v>
      </c>
      <c r="AC697">
        <v>78</v>
      </c>
    </row>
    <row r="698" spans="1:29" x14ac:dyDescent="0.25">
      <c r="A698" t="s">
        <v>705</v>
      </c>
      <c r="B698">
        <v>541</v>
      </c>
      <c r="C698">
        <v>485</v>
      </c>
      <c r="D698">
        <v>400</v>
      </c>
      <c r="E698">
        <f t="shared" si="88"/>
        <v>344</v>
      </c>
      <c r="F698">
        <v>287</v>
      </c>
      <c r="G698">
        <f t="shared" si="89"/>
        <v>197</v>
      </c>
      <c r="H698">
        <v>106</v>
      </c>
      <c r="I698">
        <v>541</v>
      </c>
      <c r="J698">
        <v>485</v>
      </c>
      <c r="K698">
        <v>400</v>
      </c>
      <c r="L698">
        <f t="shared" si="90"/>
        <v>344</v>
      </c>
      <c r="M698">
        <v>287</v>
      </c>
      <c r="N698">
        <f t="shared" si="91"/>
        <v>197</v>
      </c>
      <c r="O698">
        <v>106</v>
      </c>
      <c r="P698">
        <v>405</v>
      </c>
      <c r="Q698">
        <v>371</v>
      </c>
      <c r="R698">
        <v>313</v>
      </c>
      <c r="S698">
        <f t="shared" si="92"/>
        <v>273</v>
      </c>
      <c r="T698">
        <v>233</v>
      </c>
      <c r="U698">
        <f t="shared" si="93"/>
        <v>163</v>
      </c>
      <c r="V698">
        <v>92</v>
      </c>
      <c r="W698">
        <v>405</v>
      </c>
      <c r="X698">
        <v>371</v>
      </c>
      <c r="Y698">
        <v>313</v>
      </c>
      <c r="Z698">
        <f t="shared" si="94"/>
        <v>273</v>
      </c>
      <c r="AA698">
        <v>233</v>
      </c>
      <c r="AB698">
        <f t="shared" si="95"/>
        <v>163</v>
      </c>
      <c r="AC698">
        <v>92</v>
      </c>
    </row>
    <row r="699" spans="1:29" x14ac:dyDescent="0.25">
      <c r="A699" t="s">
        <v>706</v>
      </c>
      <c r="B699">
        <v>484</v>
      </c>
      <c r="C699">
        <v>436</v>
      </c>
      <c r="D699">
        <v>364</v>
      </c>
      <c r="E699">
        <f t="shared" si="88"/>
        <v>313</v>
      </c>
      <c r="F699">
        <v>262</v>
      </c>
      <c r="G699">
        <f t="shared" si="89"/>
        <v>180</v>
      </c>
      <c r="H699">
        <v>97</v>
      </c>
      <c r="I699">
        <v>484</v>
      </c>
      <c r="J699">
        <v>436</v>
      </c>
      <c r="K699">
        <v>364</v>
      </c>
      <c r="L699">
        <f t="shared" si="90"/>
        <v>313</v>
      </c>
      <c r="M699">
        <v>262</v>
      </c>
      <c r="N699">
        <f t="shared" si="91"/>
        <v>180</v>
      </c>
      <c r="O699">
        <v>97</v>
      </c>
      <c r="P699">
        <v>363</v>
      </c>
      <c r="Q699">
        <v>334</v>
      </c>
      <c r="R699">
        <v>285</v>
      </c>
      <c r="S699">
        <f t="shared" si="92"/>
        <v>249</v>
      </c>
      <c r="T699">
        <v>213</v>
      </c>
      <c r="U699">
        <f t="shared" si="93"/>
        <v>149</v>
      </c>
      <c r="V699">
        <v>85</v>
      </c>
      <c r="W699">
        <v>363</v>
      </c>
      <c r="X699">
        <v>334</v>
      </c>
      <c r="Y699">
        <v>285</v>
      </c>
      <c r="Z699">
        <f t="shared" si="94"/>
        <v>249</v>
      </c>
      <c r="AA699">
        <v>213</v>
      </c>
      <c r="AB699">
        <f t="shared" si="95"/>
        <v>149</v>
      </c>
      <c r="AC699">
        <v>85</v>
      </c>
    </row>
    <row r="700" spans="1:29" x14ac:dyDescent="0.25">
      <c r="A700" t="s">
        <v>707</v>
      </c>
      <c r="B700">
        <v>426</v>
      </c>
      <c r="C700">
        <v>386</v>
      </c>
      <c r="D700">
        <v>325</v>
      </c>
      <c r="E700">
        <f t="shared" si="88"/>
        <v>281</v>
      </c>
      <c r="F700">
        <v>237</v>
      </c>
      <c r="G700">
        <f t="shared" si="89"/>
        <v>163</v>
      </c>
      <c r="H700">
        <v>89</v>
      </c>
      <c r="I700">
        <v>426</v>
      </c>
      <c r="J700">
        <v>386</v>
      </c>
      <c r="K700">
        <v>325</v>
      </c>
      <c r="L700">
        <f t="shared" si="90"/>
        <v>281</v>
      </c>
      <c r="M700">
        <v>237</v>
      </c>
      <c r="N700">
        <f t="shared" si="91"/>
        <v>163</v>
      </c>
      <c r="O700">
        <v>89</v>
      </c>
      <c r="P700">
        <v>319</v>
      </c>
      <c r="Q700">
        <v>295</v>
      </c>
      <c r="R700">
        <v>254</v>
      </c>
      <c r="S700">
        <f t="shared" si="92"/>
        <v>224</v>
      </c>
      <c r="T700">
        <v>193</v>
      </c>
      <c r="U700">
        <f t="shared" si="93"/>
        <v>136</v>
      </c>
      <c r="V700">
        <v>78</v>
      </c>
      <c r="W700">
        <v>319</v>
      </c>
      <c r="X700">
        <v>295</v>
      </c>
      <c r="Y700">
        <v>254</v>
      </c>
      <c r="Z700">
        <f t="shared" si="94"/>
        <v>224</v>
      </c>
      <c r="AA700">
        <v>193</v>
      </c>
      <c r="AB700">
        <f t="shared" si="95"/>
        <v>136</v>
      </c>
      <c r="AC700">
        <v>78</v>
      </c>
    </row>
    <row r="701" spans="1:29" x14ac:dyDescent="0.25">
      <c r="A701" t="s">
        <v>708</v>
      </c>
      <c r="B701">
        <v>473</v>
      </c>
      <c r="C701">
        <v>425</v>
      </c>
      <c r="D701">
        <v>354</v>
      </c>
      <c r="E701">
        <f t="shared" si="88"/>
        <v>305</v>
      </c>
      <c r="F701">
        <v>256</v>
      </c>
      <c r="G701">
        <f t="shared" si="89"/>
        <v>176</v>
      </c>
      <c r="H701">
        <v>95</v>
      </c>
      <c r="I701">
        <v>473</v>
      </c>
      <c r="J701">
        <v>425</v>
      </c>
      <c r="K701">
        <v>354</v>
      </c>
      <c r="L701">
        <f t="shared" si="90"/>
        <v>305</v>
      </c>
      <c r="M701">
        <v>256</v>
      </c>
      <c r="N701">
        <f t="shared" si="91"/>
        <v>176</v>
      </c>
      <c r="O701">
        <v>95</v>
      </c>
      <c r="P701">
        <v>355</v>
      </c>
      <c r="Q701">
        <v>325</v>
      </c>
      <c r="R701">
        <v>277</v>
      </c>
      <c r="S701">
        <f t="shared" si="92"/>
        <v>243</v>
      </c>
      <c r="T701">
        <v>208</v>
      </c>
      <c r="U701">
        <f t="shared" si="93"/>
        <v>146</v>
      </c>
      <c r="V701">
        <v>83</v>
      </c>
      <c r="W701">
        <v>355</v>
      </c>
      <c r="X701">
        <v>325</v>
      </c>
      <c r="Y701">
        <v>277</v>
      </c>
      <c r="Z701">
        <f t="shared" si="94"/>
        <v>243</v>
      </c>
      <c r="AA701">
        <v>208</v>
      </c>
      <c r="AB701">
        <f t="shared" si="95"/>
        <v>146</v>
      </c>
      <c r="AC701">
        <v>83</v>
      </c>
    </row>
    <row r="702" spans="1:29" x14ac:dyDescent="0.25">
      <c r="A702" t="s">
        <v>709</v>
      </c>
      <c r="B702">
        <v>415</v>
      </c>
      <c r="C702">
        <v>376</v>
      </c>
      <c r="D702">
        <v>315</v>
      </c>
      <c r="E702">
        <f t="shared" si="88"/>
        <v>272</v>
      </c>
      <c r="F702">
        <v>229</v>
      </c>
      <c r="G702">
        <f t="shared" si="89"/>
        <v>158</v>
      </c>
      <c r="H702">
        <v>87</v>
      </c>
      <c r="I702">
        <v>415</v>
      </c>
      <c r="J702">
        <v>376</v>
      </c>
      <c r="K702">
        <v>315</v>
      </c>
      <c r="L702">
        <f t="shared" si="90"/>
        <v>272</v>
      </c>
      <c r="M702">
        <v>229</v>
      </c>
      <c r="N702">
        <f t="shared" si="91"/>
        <v>158</v>
      </c>
      <c r="O702">
        <v>87</v>
      </c>
      <c r="P702">
        <v>311</v>
      </c>
      <c r="Q702">
        <v>288</v>
      </c>
      <c r="R702">
        <v>247</v>
      </c>
      <c r="S702">
        <f t="shared" si="92"/>
        <v>217</v>
      </c>
      <c r="T702">
        <v>186</v>
      </c>
      <c r="U702">
        <f t="shared" si="93"/>
        <v>131</v>
      </c>
      <c r="V702">
        <v>75</v>
      </c>
      <c r="W702">
        <v>311</v>
      </c>
      <c r="X702">
        <v>288</v>
      </c>
      <c r="Y702">
        <v>247</v>
      </c>
      <c r="Z702">
        <f t="shared" si="94"/>
        <v>217</v>
      </c>
      <c r="AA702">
        <v>186</v>
      </c>
      <c r="AB702">
        <f t="shared" si="95"/>
        <v>131</v>
      </c>
      <c r="AC702">
        <v>75</v>
      </c>
    </row>
    <row r="703" spans="1:29" x14ac:dyDescent="0.25">
      <c r="A703" t="s">
        <v>710</v>
      </c>
      <c r="B703">
        <v>2351</v>
      </c>
      <c r="C703">
        <v>2031</v>
      </c>
      <c r="D703">
        <v>1634</v>
      </c>
      <c r="E703">
        <f t="shared" si="88"/>
        <v>1398</v>
      </c>
      <c r="F703">
        <v>1161</v>
      </c>
      <c r="G703">
        <f t="shared" si="89"/>
        <v>812</v>
      </c>
      <c r="H703">
        <v>462</v>
      </c>
      <c r="I703">
        <v>1391</v>
      </c>
      <c r="J703">
        <v>1196</v>
      </c>
      <c r="K703">
        <v>959</v>
      </c>
      <c r="L703">
        <f t="shared" si="90"/>
        <v>819</v>
      </c>
      <c r="M703">
        <v>678</v>
      </c>
      <c r="N703">
        <f t="shared" si="91"/>
        <v>474</v>
      </c>
      <c r="O703">
        <v>269</v>
      </c>
      <c r="P703">
        <v>1763</v>
      </c>
      <c r="Q703">
        <v>1554</v>
      </c>
      <c r="R703">
        <v>1279</v>
      </c>
      <c r="S703">
        <f t="shared" si="92"/>
        <v>1111</v>
      </c>
      <c r="T703">
        <v>943</v>
      </c>
      <c r="U703">
        <f t="shared" si="93"/>
        <v>673</v>
      </c>
      <c r="V703">
        <v>402</v>
      </c>
      <c r="W703">
        <v>1043</v>
      </c>
      <c r="X703">
        <v>915</v>
      </c>
      <c r="Y703">
        <v>750</v>
      </c>
      <c r="Z703">
        <f t="shared" si="94"/>
        <v>651</v>
      </c>
      <c r="AA703">
        <v>551</v>
      </c>
      <c r="AB703">
        <f t="shared" si="95"/>
        <v>393</v>
      </c>
      <c r="AC703">
        <v>234</v>
      </c>
    </row>
    <row r="704" spans="1:29" x14ac:dyDescent="0.25">
      <c r="A704" t="s">
        <v>711</v>
      </c>
      <c r="B704">
        <v>2247</v>
      </c>
      <c r="C704">
        <v>1944</v>
      </c>
      <c r="D704">
        <v>1568</v>
      </c>
      <c r="E704">
        <f t="shared" si="88"/>
        <v>1341</v>
      </c>
      <c r="F704">
        <v>1114</v>
      </c>
      <c r="G704">
        <f t="shared" si="89"/>
        <v>779</v>
      </c>
      <c r="H704">
        <v>443</v>
      </c>
      <c r="I704">
        <v>1344</v>
      </c>
      <c r="J704">
        <v>1157</v>
      </c>
      <c r="K704">
        <v>928</v>
      </c>
      <c r="L704">
        <f t="shared" si="90"/>
        <v>793</v>
      </c>
      <c r="M704">
        <v>657</v>
      </c>
      <c r="N704">
        <f t="shared" si="91"/>
        <v>459</v>
      </c>
      <c r="O704">
        <v>260</v>
      </c>
      <c r="P704">
        <v>1684</v>
      </c>
      <c r="Q704">
        <v>1487</v>
      </c>
      <c r="R704">
        <v>1228</v>
      </c>
      <c r="S704">
        <f t="shared" si="92"/>
        <v>1067</v>
      </c>
      <c r="T704">
        <v>905</v>
      </c>
      <c r="U704">
        <f t="shared" si="93"/>
        <v>646</v>
      </c>
      <c r="V704">
        <v>386</v>
      </c>
      <c r="W704">
        <v>1007</v>
      </c>
      <c r="X704">
        <v>885</v>
      </c>
      <c r="Y704">
        <v>727</v>
      </c>
      <c r="Z704">
        <f t="shared" si="94"/>
        <v>630</v>
      </c>
      <c r="AA704">
        <v>533</v>
      </c>
      <c r="AB704">
        <f t="shared" si="95"/>
        <v>380</v>
      </c>
      <c r="AC704">
        <v>226</v>
      </c>
    </row>
    <row r="705" spans="1:29" x14ac:dyDescent="0.25">
      <c r="A705" t="s">
        <v>712</v>
      </c>
      <c r="B705">
        <v>2138</v>
      </c>
      <c r="C705">
        <v>1858</v>
      </c>
      <c r="D705">
        <v>1502</v>
      </c>
      <c r="E705">
        <f t="shared" si="88"/>
        <v>1285</v>
      </c>
      <c r="F705">
        <v>1067</v>
      </c>
      <c r="G705">
        <f t="shared" si="89"/>
        <v>745</v>
      </c>
      <c r="H705">
        <v>423</v>
      </c>
      <c r="I705">
        <v>1296</v>
      </c>
      <c r="J705">
        <v>1119</v>
      </c>
      <c r="K705">
        <v>899</v>
      </c>
      <c r="L705">
        <f t="shared" si="90"/>
        <v>767</v>
      </c>
      <c r="M705">
        <v>634</v>
      </c>
      <c r="N705">
        <f t="shared" si="91"/>
        <v>442</v>
      </c>
      <c r="O705">
        <v>250</v>
      </c>
      <c r="P705">
        <v>1603</v>
      </c>
      <c r="Q705">
        <v>1421</v>
      </c>
      <c r="R705">
        <v>1175</v>
      </c>
      <c r="S705">
        <f t="shared" si="92"/>
        <v>1021</v>
      </c>
      <c r="T705">
        <v>867</v>
      </c>
      <c r="U705">
        <f t="shared" si="93"/>
        <v>618</v>
      </c>
      <c r="V705">
        <v>368</v>
      </c>
      <c r="W705">
        <v>972</v>
      </c>
      <c r="X705">
        <v>856</v>
      </c>
      <c r="Y705">
        <v>704</v>
      </c>
      <c r="Z705">
        <f t="shared" si="94"/>
        <v>610</v>
      </c>
      <c r="AA705">
        <v>516</v>
      </c>
      <c r="AB705">
        <f t="shared" si="95"/>
        <v>367</v>
      </c>
      <c r="AC705">
        <v>217</v>
      </c>
    </row>
    <row r="706" spans="1:29" x14ac:dyDescent="0.25">
      <c r="A706" t="s">
        <v>713</v>
      </c>
      <c r="B706">
        <v>2028</v>
      </c>
      <c r="C706">
        <v>1767</v>
      </c>
      <c r="D706">
        <v>1431</v>
      </c>
      <c r="E706">
        <f t="shared" si="88"/>
        <v>1225</v>
      </c>
      <c r="F706">
        <v>1018</v>
      </c>
      <c r="G706">
        <f t="shared" si="89"/>
        <v>710</v>
      </c>
      <c r="H706">
        <v>401</v>
      </c>
      <c r="I706">
        <v>1251</v>
      </c>
      <c r="J706">
        <v>1082</v>
      </c>
      <c r="K706">
        <v>869</v>
      </c>
      <c r="L706">
        <f t="shared" si="90"/>
        <v>741</v>
      </c>
      <c r="M706">
        <v>613</v>
      </c>
      <c r="N706">
        <f t="shared" si="91"/>
        <v>427</v>
      </c>
      <c r="O706">
        <v>240</v>
      </c>
      <c r="P706">
        <v>1520</v>
      </c>
      <c r="Q706">
        <v>1352</v>
      </c>
      <c r="R706">
        <v>1120</v>
      </c>
      <c r="S706">
        <f t="shared" si="92"/>
        <v>974</v>
      </c>
      <c r="T706">
        <v>827</v>
      </c>
      <c r="U706">
        <f t="shared" si="93"/>
        <v>588</v>
      </c>
      <c r="V706">
        <v>349</v>
      </c>
      <c r="W706">
        <v>938</v>
      </c>
      <c r="X706">
        <v>828</v>
      </c>
      <c r="Y706">
        <v>680</v>
      </c>
      <c r="Z706">
        <f t="shared" si="94"/>
        <v>589</v>
      </c>
      <c r="AA706">
        <v>498</v>
      </c>
      <c r="AB706">
        <f t="shared" si="95"/>
        <v>354</v>
      </c>
      <c r="AC706">
        <v>209</v>
      </c>
    </row>
    <row r="707" spans="1:29" x14ac:dyDescent="0.25">
      <c r="A707" t="s">
        <v>714</v>
      </c>
      <c r="B707">
        <v>1914</v>
      </c>
      <c r="C707">
        <v>1673</v>
      </c>
      <c r="D707">
        <v>1360</v>
      </c>
      <c r="E707">
        <f t="shared" si="88"/>
        <v>1164</v>
      </c>
      <c r="F707">
        <v>967</v>
      </c>
      <c r="G707">
        <f t="shared" si="89"/>
        <v>674</v>
      </c>
      <c r="H707">
        <v>380</v>
      </c>
      <c r="I707">
        <v>1205</v>
      </c>
      <c r="J707">
        <v>1043</v>
      </c>
      <c r="K707">
        <v>840</v>
      </c>
      <c r="L707">
        <f t="shared" si="90"/>
        <v>716</v>
      </c>
      <c r="M707">
        <v>591</v>
      </c>
      <c r="N707">
        <f t="shared" si="91"/>
        <v>411</v>
      </c>
      <c r="O707">
        <v>230</v>
      </c>
      <c r="P707">
        <v>1435</v>
      </c>
      <c r="Q707">
        <v>1280</v>
      </c>
      <c r="R707">
        <v>1064</v>
      </c>
      <c r="S707">
        <f t="shared" si="92"/>
        <v>925</v>
      </c>
      <c r="T707">
        <v>785</v>
      </c>
      <c r="U707">
        <f t="shared" si="93"/>
        <v>558</v>
      </c>
      <c r="V707">
        <v>331</v>
      </c>
      <c r="W707">
        <v>903</v>
      </c>
      <c r="X707">
        <v>798</v>
      </c>
      <c r="Y707">
        <v>657</v>
      </c>
      <c r="Z707">
        <f t="shared" si="94"/>
        <v>569</v>
      </c>
      <c r="AA707">
        <v>480</v>
      </c>
      <c r="AB707">
        <f t="shared" si="95"/>
        <v>341</v>
      </c>
      <c r="AC707">
        <v>201</v>
      </c>
    </row>
    <row r="708" spans="1:29" x14ac:dyDescent="0.25">
      <c r="A708" t="s">
        <v>715</v>
      </c>
      <c r="B708">
        <v>1796</v>
      </c>
      <c r="C708">
        <v>1575</v>
      </c>
      <c r="D708">
        <v>1284</v>
      </c>
      <c r="E708">
        <f t="shared" si="88"/>
        <v>1099</v>
      </c>
      <c r="F708">
        <v>914</v>
      </c>
      <c r="G708">
        <f t="shared" si="89"/>
        <v>637</v>
      </c>
      <c r="H708">
        <v>359</v>
      </c>
      <c r="I708">
        <v>1160</v>
      </c>
      <c r="J708">
        <v>1005</v>
      </c>
      <c r="K708">
        <v>809</v>
      </c>
      <c r="L708">
        <f t="shared" si="90"/>
        <v>689</v>
      </c>
      <c r="M708">
        <v>569</v>
      </c>
      <c r="N708">
        <f t="shared" si="91"/>
        <v>395</v>
      </c>
      <c r="O708">
        <v>221</v>
      </c>
      <c r="P708">
        <v>1346</v>
      </c>
      <c r="Q708">
        <v>1205</v>
      </c>
      <c r="R708">
        <v>1005</v>
      </c>
      <c r="S708">
        <f t="shared" si="92"/>
        <v>874</v>
      </c>
      <c r="T708">
        <v>742</v>
      </c>
      <c r="U708">
        <f t="shared" si="93"/>
        <v>527</v>
      </c>
      <c r="V708">
        <v>312</v>
      </c>
      <c r="W708">
        <v>869</v>
      </c>
      <c r="X708">
        <v>769</v>
      </c>
      <c r="Y708">
        <v>633</v>
      </c>
      <c r="Z708">
        <f t="shared" si="94"/>
        <v>548</v>
      </c>
      <c r="AA708">
        <v>462</v>
      </c>
      <c r="AB708">
        <f t="shared" si="95"/>
        <v>327</v>
      </c>
      <c r="AC708">
        <v>192</v>
      </c>
    </row>
    <row r="709" spans="1:29" x14ac:dyDescent="0.25">
      <c r="A709" t="s">
        <v>716</v>
      </c>
      <c r="B709">
        <v>1673</v>
      </c>
      <c r="C709">
        <v>1472</v>
      </c>
      <c r="D709">
        <v>1203</v>
      </c>
      <c r="E709">
        <f t="shared" ref="E709:E772" si="96">ROUND((D709+F709)/2,0)</f>
        <v>1030</v>
      </c>
      <c r="F709">
        <v>856</v>
      </c>
      <c r="G709">
        <f t="shared" ref="G709:G772" si="97">ROUND((F709+H709)/2,0)</f>
        <v>596</v>
      </c>
      <c r="H709">
        <v>335</v>
      </c>
      <c r="I709">
        <v>1114</v>
      </c>
      <c r="J709">
        <v>967</v>
      </c>
      <c r="K709">
        <v>778</v>
      </c>
      <c r="L709">
        <f t="shared" ref="L709:L772" si="98">ROUND((K709+M709)/2,0)</f>
        <v>662</v>
      </c>
      <c r="M709">
        <v>546</v>
      </c>
      <c r="N709">
        <f t="shared" ref="N709:N772" si="99">ROUND((M709+O709)/2,0)</f>
        <v>378</v>
      </c>
      <c r="O709">
        <v>210</v>
      </c>
      <c r="P709">
        <v>1254</v>
      </c>
      <c r="Q709">
        <v>1126</v>
      </c>
      <c r="R709">
        <v>942</v>
      </c>
      <c r="S709">
        <f t="shared" ref="S709:S772" si="100">ROUND((R709+T709)/2,0)</f>
        <v>819</v>
      </c>
      <c r="T709">
        <v>696</v>
      </c>
      <c r="U709">
        <f t="shared" ref="U709:U772" si="101">ROUND((T709+V709)/2,0)</f>
        <v>494</v>
      </c>
      <c r="V709">
        <v>292</v>
      </c>
      <c r="W709">
        <v>835</v>
      </c>
      <c r="X709">
        <v>740</v>
      </c>
      <c r="Y709">
        <v>610</v>
      </c>
      <c r="Z709">
        <f t="shared" ref="Z709:Z772" si="102">ROUND((Y709+AA709)/2,0)</f>
        <v>527</v>
      </c>
      <c r="AA709">
        <v>444</v>
      </c>
      <c r="AB709">
        <f t="shared" ref="AB709:AB772" si="103">ROUND((AA709+AC709)/2,0)</f>
        <v>314</v>
      </c>
      <c r="AC709">
        <v>183</v>
      </c>
    </row>
    <row r="710" spans="1:29" x14ac:dyDescent="0.25">
      <c r="A710" t="s">
        <v>717</v>
      </c>
      <c r="B710">
        <v>2247</v>
      </c>
      <c r="C710">
        <v>1943</v>
      </c>
      <c r="D710">
        <v>1565</v>
      </c>
      <c r="E710">
        <f t="shared" si="96"/>
        <v>1338</v>
      </c>
      <c r="F710">
        <v>1110</v>
      </c>
      <c r="G710">
        <f t="shared" si="97"/>
        <v>775</v>
      </c>
      <c r="H710">
        <v>439</v>
      </c>
      <c r="I710">
        <v>1344</v>
      </c>
      <c r="J710">
        <v>1156</v>
      </c>
      <c r="K710">
        <v>927</v>
      </c>
      <c r="L710">
        <f t="shared" si="98"/>
        <v>791</v>
      </c>
      <c r="M710">
        <v>655</v>
      </c>
      <c r="N710">
        <f t="shared" si="99"/>
        <v>457</v>
      </c>
      <c r="O710">
        <v>258</v>
      </c>
      <c r="P710">
        <v>1684</v>
      </c>
      <c r="Q710">
        <v>1487</v>
      </c>
      <c r="R710">
        <v>1225</v>
      </c>
      <c r="S710">
        <f t="shared" si="100"/>
        <v>1063</v>
      </c>
      <c r="T710">
        <v>901</v>
      </c>
      <c r="U710">
        <f t="shared" si="101"/>
        <v>642</v>
      </c>
      <c r="V710">
        <v>382</v>
      </c>
      <c r="W710">
        <v>1007</v>
      </c>
      <c r="X710">
        <v>884</v>
      </c>
      <c r="Y710">
        <v>726</v>
      </c>
      <c r="Z710">
        <f t="shared" si="102"/>
        <v>629</v>
      </c>
      <c r="AA710">
        <v>531</v>
      </c>
      <c r="AB710">
        <f t="shared" si="103"/>
        <v>378</v>
      </c>
      <c r="AC710">
        <v>225</v>
      </c>
    </row>
    <row r="711" spans="1:29" x14ac:dyDescent="0.25">
      <c r="A711" t="s">
        <v>718</v>
      </c>
      <c r="B711">
        <v>2137</v>
      </c>
      <c r="C711">
        <v>1854</v>
      </c>
      <c r="D711">
        <v>1497</v>
      </c>
      <c r="E711">
        <f t="shared" si="96"/>
        <v>1279</v>
      </c>
      <c r="F711">
        <v>1061</v>
      </c>
      <c r="G711">
        <f t="shared" si="97"/>
        <v>740</v>
      </c>
      <c r="H711">
        <v>419</v>
      </c>
      <c r="I711">
        <v>1295</v>
      </c>
      <c r="J711">
        <v>1117</v>
      </c>
      <c r="K711">
        <v>897</v>
      </c>
      <c r="L711">
        <f t="shared" si="98"/>
        <v>765</v>
      </c>
      <c r="M711">
        <v>632</v>
      </c>
      <c r="N711">
        <f t="shared" si="99"/>
        <v>440</v>
      </c>
      <c r="O711">
        <v>248</v>
      </c>
      <c r="P711">
        <v>1602</v>
      </c>
      <c r="Q711">
        <v>1419</v>
      </c>
      <c r="R711">
        <v>1172</v>
      </c>
      <c r="S711">
        <f t="shared" si="100"/>
        <v>1017</v>
      </c>
      <c r="T711">
        <v>861</v>
      </c>
      <c r="U711">
        <f t="shared" si="101"/>
        <v>613</v>
      </c>
      <c r="V711">
        <v>365</v>
      </c>
      <c r="W711">
        <v>971</v>
      </c>
      <c r="X711">
        <v>855</v>
      </c>
      <c r="Y711">
        <v>702</v>
      </c>
      <c r="Z711">
        <f t="shared" si="102"/>
        <v>608</v>
      </c>
      <c r="AA711">
        <v>513</v>
      </c>
      <c r="AB711">
        <f t="shared" si="103"/>
        <v>365</v>
      </c>
      <c r="AC711">
        <v>216</v>
      </c>
    </row>
    <row r="712" spans="1:29" x14ac:dyDescent="0.25">
      <c r="A712" t="s">
        <v>719</v>
      </c>
      <c r="B712">
        <v>2024</v>
      </c>
      <c r="C712">
        <v>1763</v>
      </c>
      <c r="D712">
        <v>1426</v>
      </c>
      <c r="E712">
        <f t="shared" si="96"/>
        <v>1219</v>
      </c>
      <c r="F712">
        <v>1012</v>
      </c>
      <c r="G712">
        <f t="shared" si="97"/>
        <v>705</v>
      </c>
      <c r="H712">
        <v>398</v>
      </c>
      <c r="I712">
        <v>1249</v>
      </c>
      <c r="J712">
        <v>1079</v>
      </c>
      <c r="K712">
        <v>866</v>
      </c>
      <c r="L712">
        <f t="shared" si="98"/>
        <v>739</v>
      </c>
      <c r="M712">
        <v>611</v>
      </c>
      <c r="N712">
        <f t="shared" si="99"/>
        <v>425</v>
      </c>
      <c r="O712">
        <v>238</v>
      </c>
      <c r="P712">
        <v>1518</v>
      </c>
      <c r="Q712">
        <v>1349</v>
      </c>
      <c r="R712">
        <v>1117</v>
      </c>
      <c r="S712">
        <f t="shared" si="100"/>
        <v>970</v>
      </c>
      <c r="T712">
        <v>822</v>
      </c>
      <c r="U712">
        <f t="shared" si="101"/>
        <v>584</v>
      </c>
      <c r="V712">
        <v>346</v>
      </c>
      <c r="W712">
        <v>937</v>
      </c>
      <c r="X712">
        <v>826</v>
      </c>
      <c r="Y712">
        <v>679</v>
      </c>
      <c r="Z712">
        <f t="shared" si="102"/>
        <v>588</v>
      </c>
      <c r="AA712">
        <v>496</v>
      </c>
      <c r="AB712">
        <f t="shared" si="103"/>
        <v>352</v>
      </c>
      <c r="AC712">
        <v>207</v>
      </c>
    </row>
    <row r="713" spans="1:29" x14ac:dyDescent="0.25">
      <c r="A713" t="s">
        <v>720</v>
      </c>
      <c r="B713">
        <v>1910</v>
      </c>
      <c r="C713">
        <v>1668</v>
      </c>
      <c r="D713">
        <v>1355</v>
      </c>
      <c r="E713">
        <f t="shared" si="96"/>
        <v>1159</v>
      </c>
      <c r="F713">
        <v>962</v>
      </c>
      <c r="G713">
        <f t="shared" si="97"/>
        <v>670</v>
      </c>
      <c r="H713">
        <v>377</v>
      </c>
      <c r="I713">
        <v>1203</v>
      </c>
      <c r="J713">
        <v>1040</v>
      </c>
      <c r="K713">
        <v>838</v>
      </c>
      <c r="L713">
        <f t="shared" si="98"/>
        <v>714</v>
      </c>
      <c r="M713">
        <v>589</v>
      </c>
      <c r="N713">
        <f t="shared" si="99"/>
        <v>409</v>
      </c>
      <c r="O713">
        <v>229</v>
      </c>
      <c r="P713">
        <v>1432</v>
      </c>
      <c r="Q713">
        <v>1276</v>
      </c>
      <c r="R713">
        <v>1060</v>
      </c>
      <c r="S713">
        <f t="shared" si="100"/>
        <v>921</v>
      </c>
      <c r="T713">
        <v>781</v>
      </c>
      <c r="U713">
        <f t="shared" si="101"/>
        <v>555</v>
      </c>
      <c r="V713">
        <v>328</v>
      </c>
      <c r="W713">
        <v>902</v>
      </c>
      <c r="X713">
        <v>796</v>
      </c>
      <c r="Y713">
        <v>655</v>
      </c>
      <c r="Z713">
        <f t="shared" si="102"/>
        <v>567</v>
      </c>
      <c r="AA713">
        <v>479</v>
      </c>
      <c r="AB713">
        <f t="shared" si="103"/>
        <v>339</v>
      </c>
      <c r="AC713">
        <v>199</v>
      </c>
    </row>
    <row r="714" spans="1:29" x14ac:dyDescent="0.25">
      <c r="A714" t="s">
        <v>721</v>
      </c>
      <c r="B714">
        <v>1792</v>
      </c>
      <c r="C714">
        <v>1569</v>
      </c>
      <c r="D714">
        <v>1278</v>
      </c>
      <c r="E714">
        <f t="shared" si="96"/>
        <v>1094</v>
      </c>
      <c r="F714">
        <v>909</v>
      </c>
      <c r="G714">
        <f t="shared" si="97"/>
        <v>633</v>
      </c>
      <c r="H714">
        <v>356</v>
      </c>
      <c r="I714">
        <v>1158</v>
      </c>
      <c r="J714">
        <v>1003</v>
      </c>
      <c r="K714">
        <v>807</v>
      </c>
      <c r="L714">
        <f t="shared" si="98"/>
        <v>688</v>
      </c>
      <c r="M714">
        <v>568</v>
      </c>
      <c r="N714">
        <f t="shared" si="99"/>
        <v>394</v>
      </c>
      <c r="O714">
        <v>220</v>
      </c>
      <c r="P714">
        <v>1343</v>
      </c>
      <c r="Q714">
        <v>1201</v>
      </c>
      <c r="R714">
        <v>1000</v>
      </c>
      <c r="S714">
        <f t="shared" si="100"/>
        <v>869</v>
      </c>
      <c r="T714">
        <v>738</v>
      </c>
      <c r="U714">
        <f t="shared" si="101"/>
        <v>524</v>
      </c>
      <c r="V714">
        <v>310</v>
      </c>
      <c r="W714">
        <v>868</v>
      </c>
      <c r="X714">
        <v>768</v>
      </c>
      <c r="Y714">
        <v>631</v>
      </c>
      <c r="Z714">
        <f t="shared" si="102"/>
        <v>546</v>
      </c>
      <c r="AA714">
        <v>461</v>
      </c>
      <c r="AB714">
        <f t="shared" si="103"/>
        <v>326</v>
      </c>
      <c r="AC714">
        <v>191</v>
      </c>
    </row>
    <row r="715" spans="1:29" x14ac:dyDescent="0.25">
      <c r="A715" t="s">
        <v>722</v>
      </c>
      <c r="B715">
        <v>1667</v>
      </c>
      <c r="C715">
        <v>1467</v>
      </c>
      <c r="D715">
        <v>1199</v>
      </c>
      <c r="E715">
        <f t="shared" si="96"/>
        <v>1026</v>
      </c>
      <c r="F715">
        <v>853</v>
      </c>
      <c r="G715">
        <f t="shared" si="97"/>
        <v>593</v>
      </c>
      <c r="H715">
        <v>333</v>
      </c>
      <c r="I715">
        <v>1112</v>
      </c>
      <c r="J715">
        <v>965</v>
      </c>
      <c r="K715">
        <v>778</v>
      </c>
      <c r="L715">
        <f t="shared" si="98"/>
        <v>662</v>
      </c>
      <c r="M715">
        <v>546</v>
      </c>
      <c r="N715">
        <f t="shared" si="99"/>
        <v>378</v>
      </c>
      <c r="O715">
        <v>210</v>
      </c>
      <c r="P715">
        <v>1250</v>
      </c>
      <c r="Q715">
        <v>1122</v>
      </c>
      <c r="R715">
        <v>938</v>
      </c>
      <c r="S715">
        <f t="shared" si="100"/>
        <v>816</v>
      </c>
      <c r="T715">
        <v>693</v>
      </c>
      <c r="U715">
        <f t="shared" si="101"/>
        <v>492</v>
      </c>
      <c r="V715">
        <v>290</v>
      </c>
      <c r="W715">
        <v>834</v>
      </c>
      <c r="X715">
        <v>738</v>
      </c>
      <c r="Y715">
        <v>609</v>
      </c>
      <c r="Z715">
        <f t="shared" si="102"/>
        <v>526</v>
      </c>
      <c r="AA715">
        <v>443</v>
      </c>
      <c r="AB715">
        <f t="shared" si="103"/>
        <v>313</v>
      </c>
      <c r="AC715">
        <v>183</v>
      </c>
    </row>
    <row r="716" spans="1:29" x14ac:dyDescent="0.25">
      <c r="A716" t="s">
        <v>723</v>
      </c>
      <c r="B716">
        <v>1534</v>
      </c>
      <c r="C716">
        <v>1354</v>
      </c>
      <c r="D716">
        <v>1111</v>
      </c>
      <c r="E716">
        <f t="shared" si="96"/>
        <v>951</v>
      </c>
      <c r="F716">
        <v>791</v>
      </c>
      <c r="G716">
        <f t="shared" si="97"/>
        <v>549</v>
      </c>
      <c r="H716">
        <v>307</v>
      </c>
      <c r="I716">
        <v>1063</v>
      </c>
      <c r="J716">
        <v>924</v>
      </c>
      <c r="K716">
        <v>746</v>
      </c>
      <c r="L716">
        <f t="shared" si="98"/>
        <v>635</v>
      </c>
      <c r="M716">
        <v>523</v>
      </c>
      <c r="N716">
        <f t="shared" si="99"/>
        <v>362</v>
      </c>
      <c r="O716">
        <v>200</v>
      </c>
      <c r="P716">
        <v>1150</v>
      </c>
      <c r="Q716">
        <v>1036</v>
      </c>
      <c r="R716">
        <v>870</v>
      </c>
      <c r="S716">
        <f t="shared" si="100"/>
        <v>757</v>
      </c>
      <c r="T716">
        <v>643</v>
      </c>
      <c r="U716">
        <f t="shared" si="101"/>
        <v>456</v>
      </c>
      <c r="V716">
        <v>268</v>
      </c>
      <c r="W716">
        <v>797</v>
      </c>
      <c r="X716">
        <v>707</v>
      </c>
      <c r="Y716">
        <v>584</v>
      </c>
      <c r="Z716">
        <f t="shared" si="102"/>
        <v>505</v>
      </c>
      <c r="AA716">
        <v>425</v>
      </c>
      <c r="AB716">
        <f t="shared" si="103"/>
        <v>300</v>
      </c>
      <c r="AC716">
        <v>174</v>
      </c>
    </row>
    <row r="717" spans="1:29" x14ac:dyDescent="0.25">
      <c r="A717" t="s">
        <v>724</v>
      </c>
      <c r="B717">
        <v>2136</v>
      </c>
      <c r="C717">
        <v>1851</v>
      </c>
      <c r="D717">
        <v>1492</v>
      </c>
      <c r="E717">
        <f t="shared" si="96"/>
        <v>1274</v>
      </c>
      <c r="F717">
        <v>1056</v>
      </c>
      <c r="G717">
        <f t="shared" si="97"/>
        <v>736</v>
      </c>
      <c r="H717">
        <v>415</v>
      </c>
      <c r="I717">
        <v>1296</v>
      </c>
      <c r="J717">
        <v>1116</v>
      </c>
      <c r="K717">
        <v>894</v>
      </c>
      <c r="L717">
        <f t="shared" si="98"/>
        <v>762</v>
      </c>
      <c r="M717">
        <v>630</v>
      </c>
      <c r="N717">
        <f t="shared" si="99"/>
        <v>438</v>
      </c>
      <c r="O717">
        <v>246</v>
      </c>
      <c r="P717">
        <v>1601</v>
      </c>
      <c r="Q717">
        <v>1416</v>
      </c>
      <c r="R717">
        <v>1168</v>
      </c>
      <c r="S717">
        <f t="shared" si="100"/>
        <v>1013</v>
      </c>
      <c r="T717">
        <v>858</v>
      </c>
      <c r="U717">
        <f t="shared" si="101"/>
        <v>610</v>
      </c>
      <c r="V717">
        <v>362</v>
      </c>
      <c r="W717">
        <v>972</v>
      </c>
      <c r="X717">
        <v>854</v>
      </c>
      <c r="Y717">
        <v>700</v>
      </c>
      <c r="Z717">
        <f t="shared" si="102"/>
        <v>606</v>
      </c>
      <c r="AA717">
        <v>512</v>
      </c>
      <c r="AB717">
        <f t="shared" si="103"/>
        <v>364</v>
      </c>
      <c r="AC717">
        <v>215</v>
      </c>
    </row>
    <row r="718" spans="1:29" x14ac:dyDescent="0.25">
      <c r="A718" t="s">
        <v>725</v>
      </c>
      <c r="B718">
        <v>2022</v>
      </c>
      <c r="C718">
        <v>1758</v>
      </c>
      <c r="D718">
        <v>1422</v>
      </c>
      <c r="E718">
        <f t="shared" si="96"/>
        <v>1215</v>
      </c>
      <c r="F718">
        <v>1007</v>
      </c>
      <c r="G718">
        <f t="shared" si="97"/>
        <v>701</v>
      </c>
      <c r="H718">
        <v>394</v>
      </c>
      <c r="I718">
        <v>1248</v>
      </c>
      <c r="J718">
        <v>1078</v>
      </c>
      <c r="K718">
        <v>864</v>
      </c>
      <c r="L718">
        <f t="shared" si="98"/>
        <v>736</v>
      </c>
      <c r="M718">
        <v>608</v>
      </c>
      <c r="N718">
        <f t="shared" si="99"/>
        <v>422</v>
      </c>
      <c r="O718">
        <v>236</v>
      </c>
      <c r="P718">
        <v>1516</v>
      </c>
      <c r="Q718">
        <v>1345</v>
      </c>
      <c r="R718">
        <v>1113</v>
      </c>
      <c r="S718">
        <f t="shared" si="100"/>
        <v>966</v>
      </c>
      <c r="T718">
        <v>818</v>
      </c>
      <c r="U718">
        <f t="shared" si="101"/>
        <v>581</v>
      </c>
      <c r="V718">
        <v>344</v>
      </c>
      <c r="W718">
        <v>936</v>
      </c>
      <c r="X718">
        <v>825</v>
      </c>
      <c r="Y718">
        <v>677</v>
      </c>
      <c r="Z718">
        <f t="shared" si="102"/>
        <v>586</v>
      </c>
      <c r="AA718">
        <v>494</v>
      </c>
      <c r="AB718">
        <f t="shared" si="103"/>
        <v>350</v>
      </c>
      <c r="AC718">
        <v>206</v>
      </c>
    </row>
    <row r="719" spans="1:29" x14ac:dyDescent="0.25">
      <c r="A719" t="s">
        <v>726</v>
      </c>
      <c r="B719">
        <v>1906</v>
      </c>
      <c r="C719">
        <v>1663</v>
      </c>
      <c r="D719">
        <v>1348</v>
      </c>
      <c r="E719">
        <f t="shared" si="96"/>
        <v>1152</v>
      </c>
      <c r="F719">
        <v>955</v>
      </c>
      <c r="G719">
        <f t="shared" si="97"/>
        <v>665</v>
      </c>
      <c r="H719">
        <v>374</v>
      </c>
      <c r="I719">
        <v>1202</v>
      </c>
      <c r="J719">
        <v>1040</v>
      </c>
      <c r="K719">
        <v>835</v>
      </c>
      <c r="L719">
        <f t="shared" si="98"/>
        <v>711</v>
      </c>
      <c r="M719">
        <v>587</v>
      </c>
      <c r="N719">
        <f t="shared" si="99"/>
        <v>407</v>
      </c>
      <c r="O719">
        <v>227</v>
      </c>
      <c r="P719">
        <v>1429</v>
      </c>
      <c r="Q719">
        <v>1272</v>
      </c>
      <c r="R719">
        <v>1055</v>
      </c>
      <c r="S719">
        <f t="shared" si="100"/>
        <v>916</v>
      </c>
      <c r="T719">
        <v>776</v>
      </c>
      <c r="U719">
        <f t="shared" si="101"/>
        <v>551</v>
      </c>
      <c r="V719">
        <v>325</v>
      </c>
      <c r="W719">
        <v>901</v>
      </c>
      <c r="X719">
        <v>795</v>
      </c>
      <c r="Y719">
        <v>653</v>
      </c>
      <c r="Z719">
        <f t="shared" si="102"/>
        <v>565</v>
      </c>
      <c r="AA719">
        <v>477</v>
      </c>
      <c r="AB719">
        <f t="shared" si="103"/>
        <v>338</v>
      </c>
      <c r="AC719">
        <v>198</v>
      </c>
    </row>
    <row r="720" spans="1:29" x14ac:dyDescent="0.25">
      <c r="A720" t="s">
        <v>727</v>
      </c>
      <c r="B720">
        <v>1786</v>
      </c>
      <c r="C720">
        <v>1563</v>
      </c>
      <c r="D720">
        <v>1272</v>
      </c>
      <c r="E720">
        <f t="shared" si="96"/>
        <v>1088</v>
      </c>
      <c r="F720">
        <v>903</v>
      </c>
      <c r="G720">
        <f t="shared" si="97"/>
        <v>628</v>
      </c>
      <c r="H720">
        <v>353</v>
      </c>
      <c r="I720">
        <v>1156</v>
      </c>
      <c r="J720">
        <v>1001</v>
      </c>
      <c r="K720">
        <v>806</v>
      </c>
      <c r="L720">
        <f t="shared" si="98"/>
        <v>686</v>
      </c>
      <c r="M720">
        <v>566</v>
      </c>
      <c r="N720">
        <f t="shared" si="99"/>
        <v>392</v>
      </c>
      <c r="O720">
        <v>218</v>
      </c>
      <c r="P720">
        <v>1339</v>
      </c>
      <c r="Q720">
        <v>1196</v>
      </c>
      <c r="R720">
        <v>995</v>
      </c>
      <c r="S720">
        <f t="shared" si="100"/>
        <v>864</v>
      </c>
      <c r="T720">
        <v>733</v>
      </c>
      <c r="U720">
        <f t="shared" si="101"/>
        <v>520</v>
      </c>
      <c r="V720">
        <v>307</v>
      </c>
      <c r="W720">
        <v>867</v>
      </c>
      <c r="X720">
        <v>766</v>
      </c>
      <c r="Y720">
        <v>630</v>
      </c>
      <c r="Z720">
        <f t="shared" si="102"/>
        <v>545</v>
      </c>
      <c r="AA720">
        <v>459</v>
      </c>
      <c r="AB720">
        <f t="shared" si="103"/>
        <v>325</v>
      </c>
      <c r="AC720">
        <v>190</v>
      </c>
    </row>
    <row r="721" spans="1:29" x14ac:dyDescent="0.25">
      <c r="A721" t="s">
        <v>728</v>
      </c>
      <c r="B721">
        <v>1662</v>
      </c>
      <c r="C721">
        <v>1460</v>
      </c>
      <c r="D721">
        <v>1193</v>
      </c>
      <c r="E721">
        <f t="shared" si="96"/>
        <v>1020</v>
      </c>
      <c r="F721">
        <v>847</v>
      </c>
      <c r="G721">
        <f t="shared" si="97"/>
        <v>589</v>
      </c>
      <c r="H721">
        <v>330</v>
      </c>
      <c r="I721">
        <v>1110</v>
      </c>
      <c r="J721">
        <v>963</v>
      </c>
      <c r="K721">
        <v>775</v>
      </c>
      <c r="L721">
        <f t="shared" si="98"/>
        <v>659</v>
      </c>
      <c r="M721">
        <v>543</v>
      </c>
      <c r="N721">
        <f t="shared" si="99"/>
        <v>376</v>
      </c>
      <c r="O721">
        <v>209</v>
      </c>
      <c r="P721">
        <v>1246</v>
      </c>
      <c r="Q721">
        <v>1117</v>
      </c>
      <c r="R721">
        <v>934</v>
      </c>
      <c r="S721">
        <f t="shared" si="100"/>
        <v>811</v>
      </c>
      <c r="T721">
        <v>688</v>
      </c>
      <c r="U721">
        <f t="shared" si="101"/>
        <v>488</v>
      </c>
      <c r="V721">
        <v>288</v>
      </c>
      <c r="W721">
        <v>832</v>
      </c>
      <c r="X721">
        <v>737</v>
      </c>
      <c r="Y721">
        <v>607</v>
      </c>
      <c r="Z721">
        <f t="shared" si="102"/>
        <v>524</v>
      </c>
      <c r="AA721">
        <v>441</v>
      </c>
      <c r="AB721">
        <f t="shared" si="103"/>
        <v>312</v>
      </c>
      <c r="AC721">
        <v>182</v>
      </c>
    </row>
    <row r="722" spans="1:29" x14ac:dyDescent="0.25">
      <c r="A722" t="s">
        <v>729</v>
      </c>
      <c r="B722">
        <v>1531</v>
      </c>
      <c r="C722">
        <v>1351</v>
      </c>
      <c r="D722">
        <v>1107</v>
      </c>
      <c r="E722">
        <f t="shared" si="96"/>
        <v>948</v>
      </c>
      <c r="F722">
        <v>789</v>
      </c>
      <c r="G722">
        <f t="shared" si="97"/>
        <v>548</v>
      </c>
      <c r="H722">
        <v>306</v>
      </c>
      <c r="I722">
        <v>1063</v>
      </c>
      <c r="J722">
        <v>923</v>
      </c>
      <c r="K722">
        <v>743</v>
      </c>
      <c r="L722">
        <f t="shared" si="98"/>
        <v>633</v>
      </c>
      <c r="M722">
        <v>522</v>
      </c>
      <c r="N722">
        <f t="shared" si="99"/>
        <v>361</v>
      </c>
      <c r="O722">
        <v>199</v>
      </c>
      <c r="P722">
        <v>1147</v>
      </c>
      <c r="Q722">
        <v>1033</v>
      </c>
      <c r="R722">
        <v>867</v>
      </c>
      <c r="S722">
        <f t="shared" si="100"/>
        <v>754</v>
      </c>
      <c r="T722">
        <v>641</v>
      </c>
      <c r="U722">
        <f t="shared" si="101"/>
        <v>454</v>
      </c>
      <c r="V722">
        <v>267</v>
      </c>
      <c r="W722">
        <v>797</v>
      </c>
      <c r="X722">
        <v>706</v>
      </c>
      <c r="Y722">
        <v>582</v>
      </c>
      <c r="Z722">
        <f t="shared" si="102"/>
        <v>503</v>
      </c>
      <c r="AA722">
        <v>424</v>
      </c>
      <c r="AB722">
        <f t="shared" si="103"/>
        <v>299</v>
      </c>
      <c r="AC722">
        <v>173</v>
      </c>
    </row>
    <row r="723" spans="1:29" x14ac:dyDescent="0.25">
      <c r="A723" t="s">
        <v>730</v>
      </c>
      <c r="B723">
        <v>1389</v>
      </c>
      <c r="C723">
        <v>1230</v>
      </c>
      <c r="D723">
        <v>1013</v>
      </c>
      <c r="E723">
        <f t="shared" si="96"/>
        <v>868</v>
      </c>
      <c r="F723">
        <v>722</v>
      </c>
      <c r="G723">
        <f t="shared" si="97"/>
        <v>501</v>
      </c>
      <c r="H723">
        <v>279</v>
      </c>
      <c r="I723">
        <v>1014</v>
      </c>
      <c r="J723">
        <v>882</v>
      </c>
      <c r="K723">
        <v>712</v>
      </c>
      <c r="L723">
        <f t="shared" si="98"/>
        <v>605</v>
      </c>
      <c r="M723">
        <v>498</v>
      </c>
      <c r="N723">
        <f t="shared" si="99"/>
        <v>344</v>
      </c>
      <c r="O723">
        <v>189</v>
      </c>
      <c r="P723">
        <v>1041</v>
      </c>
      <c r="Q723">
        <v>941</v>
      </c>
      <c r="R723">
        <v>793</v>
      </c>
      <c r="S723">
        <f t="shared" si="100"/>
        <v>690</v>
      </c>
      <c r="T723">
        <v>587</v>
      </c>
      <c r="U723">
        <f t="shared" si="101"/>
        <v>415</v>
      </c>
      <c r="V723">
        <v>243</v>
      </c>
      <c r="W723">
        <v>760</v>
      </c>
      <c r="X723">
        <v>675</v>
      </c>
      <c r="Y723">
        <v>558</v>
      </c>
      <c r="Z723">
        <f t="shared" si="102"/>
        <v>482</v>
      </c>
      <c r="AA723">
        <v>405</v>
      </c>
      <c r="AB723">
        <f t="shared" si="103"/>
        <v>285</v>
      </c>
      <c r="AC723">
        <v>165</v>
      </c>
    </row>
    <row r="724" spans="1:29" x14ac:dyDescent="0.25">
      <c r="A724" t="s">
        <v>731</v>
      </c>
      <c r="B724">
        <v>2020</v>
      </c>
      <c r="C724">
        <v>1754</v>
      </c>
      <c r="D724">
        <v>1417</v>
      </c>
      <c r="E724">
        <f t="shared" si="96"/>
        <v>1209</v>
      </c>
      <c r="F724">
        <v>1000</v>
      </c>
      <c r="G724">
        <f t="shared" si="97"/>
        <v>695</v>
      </c>
      <c r="H724">
        <v>390</v>
      </c>
      <c r="I724">
        <v>1247</v>
      </c>
      <c r="J724">
        <v>1076</v>
      </c>
      <c r="K724">
        <v>862</v>
      </c>
      <c r="L724">
        <f t="shared" si="98"/>
        <v>734</v>
      </c>
      <c r="M724">
        <v>605</v>
      </c>
      <c r="N724">
        <f t="shared" si="99"/>
        <v>420</v>
      </c>
      <c r="O724">
        <v>234</v>
      </c>
      <c r="P724">
        <v>1515</v>
      </c>
      <c r="Q724">
        <v>1342</v>
      </c>
      <c r="R724">
        <v>1109</v>
      </c>
      <c r="S724">
        <f t="shared" si="100"/>
        <v>961</v>
      </c>
      <c r="T724">
        <v>813</v>
      </c>
      <c r="U724">
        <f t="shared" si="101"/>
        <v>577</v>
      </c>
      <c r="V724">
        <v>340</v>
      </c>
      <c r="W724">
        <v>936</v>
      </c>
      <c r="X724">
        <v>823</v>
      </c>
      <c r="Y724">
        <v>675</v>
      </c>
      <c r="Z724">
        <f t="shared" si="102"/>
        <v>584</v>
      </c>
      <c r="AA724">
        <v>492</v>
      </c>
      <c r="AB724">
        <f t="shared" si="103"/>
        <v>348</v>
      </c>
      <c r="AC724">
        <v>204</v>
      </c>
    </row>
    <row r="725" spans="1:29" x14ac:dyDescent="0.25">
      <c r="A725" t="s">
        <v>732</v>
      </c>
      <c r="B725">
        <v>1903</v>
      </c>
      <c r="C725">
        <v>1657</v>
      </c>
      <c r="D725">
        <v>1342</v>
      </c>
      <c r="E725">
        <f t="shared" si="96"/>
        <v>1146</v>
      </c>
      <c r="F725">
        <v>949</v>
      </c>
      <c r="G725">
        <f t="shared" si="97"/>
        <v>660</v>
      </c>
      <c r="H725">
        <v>370</v>
      </c>
      <c r="I725">
        <v>1200</v>
      </c>
      <c r="J725">
        <v>1037</v>
      </c>
      <c r="K725">
        <v>832</v>
      </c>
      <c r="L725">
        <f t="shared" si="98"/>
        <v>708</v>
      </c>
      <c r="M725">
        <v>584</v>
      </c>
      <c r="N725">
        <f t="shared" si="99"/>
        <v>405</v>
      </c>
      <c r="O725">
        <v>225</v>
      </c>
      <c r="P725">
        <v>1427</v>
      </c>
      <c r="Q725">
        <v>1268</v>
      </c>
      <c r="R725">
        <v>1051</v>
      </c>
      <c r="S725">
        <f t="shared" si="100"/>
        <v>911</v>
      </c>
      <c r="T725">
        <v>771</v>
      </c>
      <c r="U725">
        <f t="shared" si="101"/>
        <v>547</v>
      </c>
      <c r="V725">
        <v>323</v>
      </c>
      <c r="W725">
        <v>900</v>
      </c>
      <c r="X725">
        <v>794</v>
      </c>
      <c r="Y725">
        <v>652</v>
      </c>
      <c r="Z725">
        <f t="shared" si="102"/>
        <v>564</v>
      </c>
      <c r="AA725">
        <v>475</v>
      </c>
      <c r="AB725">
        <f t="shared" si="103"/>
        <v>336</v>
      </c>
      <c r="AC725">
        <v>197</v>
      </c>
    </row>
    <row r="726" spans="1:29" x14ac:dyDescent="0.25">
      <c r="A726" t="s">
        <v>733</v>
      </c>
      <c r="B726">
        <v>1781</v>
      </c>
      <c r="C726">
        <v>1558</v>
      </c>
      <c r="D726">
        <v>1266</v>
      </c>
      <c r="E726">
        <f t="shared" si="96"/>
        <v>1081</v>
      </c>
      <c r="F726">
        <v>896</v>
      </c>
      <c r="G726">
        <f t="shared" si="97"/>
        <v>623</v>
      </c>
      <c r="H726">
        <v>349</v>
      </c>
      <c r="I726">
        <v>1154</v>
      </c>
      <c r="J726">
        <v>998</v>
      </c>
      <c r="K726">
        <v>803</v>
      </c>
      <c r="L726">
        <f t="shared" si="98"/>
        <v>683</v>
      </c>
      <c r="M726">
        <v>563</v>
      </c>
      <c r="N726">
        <f t="shared" si="99"/>
        <v>390</v>
      </c>
      <c r="O726">
        <v>217</v>
      </c>
      <c r="P726">
        <v>1335</v>
      </c>
      <c r="Q726">
        <v>1192</v>
      </c>
      <c r="R726">
        <v>991</v>
      </c>
      <c r="S726">
        <f t="shared" si="100"/>
        <v>860</v>
      </c>
      <c r="T726">
        <v>728</v>
      </c>
      <c r="U726">
        <f t="shared" si="101"/>
        <v>516</v>
      </c>
      <c r="V726">
        <v>304</v>
      </c>
      <c r="W726">
        <v>865</v>
      </c>
      <c r="X726">
        <v>764</v>
      </c>
      <c r="Y726">
        <v>629</v>
      </c>
      <c r="Z726">
        <f t="shared" si="102"/>
        <v>543</v>
      </c>
      <c r="AA726">
        <v>457</v>
      </c>
      <c r="AB726">
        <f t="shared" si="103"/>
        <v>323</v>
      </c>
      <c r="AC726">
        <v>189</v>
      </c>
    </row>
    <row r="727" spans="1:29" x14ac:dyDescent="0.25">
      <c r="A727" t="s">
        <v>734</v>
      </c>
      <c r="B727">
        <v>1656</v>
      </c>
      <c r="C727">
        <v>1454</v>
      </c>
      <c r="D727">
        <v>1185</v>
      </c>
      <c r="E727">
        <f t="shared" si="96"/>
        <v>1013</v>
      </c>
      <c r="F727">
        <v>841</v>
      </c>
      <c r="G727">
        <f t="shared" si="97"/>
        <v>584</v>
      </c>
      <c r="H727">
        <v>327</v>
      </c>
      <c r="I727">
        <v>1108</v>
      </c>
      <c r="J727">
        <v>961</v>
      </c>
      <c r="K727">
        <v>773</v>
      </c>
      <c r="L727">
        <f t="shared" si="98"/>
        <v>657</v>
      </c>
      <c r="M727">
        <v>541</v>
      </c>
      <c r="N727">
        <f t="shared" si="99"/>
        <v>374</v>
      </c>
      <c r="O727">
        <v>207</v>
      </c>
      <c r="P727">
        <v>1241</v>
      </c>
      <c r="Q727">
        <v>1113</v>
      </c>
      <c r="R727">
        <v>928</v>
      </c>
      <c r="S727">
        <f t="shared" si="100"/>
        <v>806</v>
      </c>
      <c r="T727">
        <v>683</v>
      </c>
      <c r="U727">
        <f t="shared" si="101"/>
        <v>484</v>
      </c>
      <c r="V727">
        <v>285</v>
      </c>
      <c r="W727">
        <v>830</v>
      </c>
      <c r="X727">
        <v>735</v>
      </c>
      <c r="Y727">
        <v>605</v>
      </c>
      <c r="Z727">
        <f t="shared" si="102"/>
        <v>523</v>
      </c>
      <c r="AA727">
        <v>440</v>
      </c>
      <c r="AB727">
        <f t="shared" si="103"/>
        <v>311</v>
      </c>
      <c r="AC727">
        <v>181</v>
      </c>
    </row>
    <row r="728" spans="1:29" x14ac:dyDescent="0.25">
      <c r="A728" t="s">
        <v>735</v>
      </c>
      <c r="B728">
        <v>1525</v>
      </c>
      <c r="C728">
        <v>1345</v>
      </c>
      <c r="D728">
        <v>1101</v>
      </c>
      <c r="E728">
        <f t="shared" si="96"/>
        <v>943</v>
      </c>
      <c r="F728">
        <v>784</v>
      </c>
      <c r="G728">
        <f t="shared" si="97"/>
        <v>544</v>
      </c>
      <c r="H728">
        <v>304</v>
      </c>
      <c r="I728">
        <v>1061</v>
      </c>
      <c r="J728">
        <v>922</v>
      </c>
      <c r="K728">
        <v>742</v>
      </c>
      <c r="L728">
        <f t="shared" si="98"/>
        <v>632</v>
      </c>
      <c r="M728">
        <v>521</v>
      </c>
      <c r="N728">
        <f t="shared" si="99"/>
        <v>360</v>
      </c>
      <c r="O728">
        <v>198</v>
      </c>
      <c r="P728">
        <v>1143</v>
      </c>
      <c r="Q728">
        <v>1029</v>
      </c>
      <c r="R728">
        <v>862</v>
      </c>
      <c r="S728">
        <f t="shared" si="100"/>
        <v>750</v>
      </c>
      <c r="T728">
        <v>637</v>
      </c>
      <c r="U728">
        <f t="shared" si="101"/>
        <v>451</v>
      </c>
      <c r="V728">
        <v>265</v>
      </c>
      <c r="W728">
        <v>795</v>
      </c>
      <c r="X728">
        <v>705</v>
      </c>
      <c r="Y728">
        <v>581</v>
      </c>
      <c r="Z728">
        <f t="shared" si="102"/>
        <v>502</v>
      </c>
      <c r="AA728">
        <v>423</v>
      </c>
      <c r="AB728">
        <f t="shared" si="103"/>
        <v>298</v>
      </c>
      <c r="AC728">
        <v>173</v>
      </c>
    </row>
    <row r="729" spans="1:29" x14ac:dyDescent="0.25">
      <c r="A729" t="s">
        <v>736</v>
      </c>
      <c r="B729">
        <v>1384</v>
      </c>
      <c r="C729">
        <v>1226</v>
      </c>
      <c r="D729">
        <v>1009</v>
      </c>
      <c r="E729">
        <f t="shared" si="96"/>
        <v>864</v>
      </c>
      <c r="F729">
        <v>718</v>
      </c>
      <c r="G729">
        <f t="shared" si="97"/>
        <v>498</v>
      </c>
      <c r="H729">
        <v>277</v>
      </c>
      <c r="I729">
        <v>1012</v>
      </c>
      <c r="J729">
        <v>881</v>
      </c>
      <c r="K729">
        <v>711</v>
      </c>
      <c r="L729">
        <f t="shared" si="98"/>
        <v>604</v>
      </c>
      <c r="M729">
        <v>496</v>
      </c>
      <c r="N729">
        <f t="shared" si="99"/>
        <v>342</v>
      </c>
      <c r="O729">
        <v>188</v>
      </c>
      <c r="P729">
        <v>1038</v>
      </c>
      <c r="Q729">
        <v>938</v>
      </c>
      <c r="R729">
        <v>790</v>
      </c>
      <c r="S729">
        <f t="shared" si="100"/>
        <v>687</v>
      </c>
      <c r="T729">
        <v>584</v>
      </c>
      <c r="U729">
        <f t="shared" si="101"/>
        <v>413</v>
      </c>
      <c r="V729">
        <v>241</v>
      </c>
      <c r="W729">
        <v>759</v>
      </c>
      <c r="X729">
        <v>674</v>
      </c>
      <c r="Y729">
        <v>557</v>
      </c>
      <c r="Z729">
        <f t="shared" si="102"/>
        <v>481</v>
      </c>
      <c r="AA729">
        <v>404</v>
      </c>
      <c r="AB729">
        <f t="shared" si="103"/>
        <v>284</v>
      </c>
      <c r="AC729">
        <v>164</v>
      </c>
    </row>
    <row r="730" spans="1:29" x14ac:dyDescent="0.25">
      <c r="A730" t="s">
        <v>737</v>
      </c>
      <c r="B730">
        <v>1235</v>
      </c>
      <c r="C730">
        <v>1098</v>
      </c>
      <c r="D730">
        <v>907</v>
      </c>
      <c r="E730">
        <f t="shared" si="96"/>
        <v>778</v>
      </c>
      <c r="F730">
        <v>648</v>
      </c>
      <c r="G730">
        <f t="shared" si="97"/>
        <v>449</v>
      </c>
      <c r="H730">
        <v>249</v>
      </c>
      <c r="I730">
        <v>961</v>
      </c>
      <c r="J730">
        <v>838</v>
      </c>
      <c r="K730">
        <v>678</v>
      </c>
      <c r="L730">
        <f t="shared" si="98"/>
        <v>576</v>
      </c>
      <c r="M730">
        <v>473</v>
      </c>
      <c r="N730">
        <f t="shared" si="99"/>
        <v>326</v>
      </c>
      <c r="O730">
        <v>179</v>
      </c>
      <c r="P730">
        <v>926</v>
      </c>
      <c r="Q730">
        <v>840</v>
      </c>
      <c r="R730">
        <v>710</v>
      </c>
      <c r="S730">
        <f t="shared" si="100"/>
        <v>619</v>
      </c>
      <c r="T730">
        <v>527</v>
      </c>
      <c r="U730">
        <f t="shared" si="101"/>
        <v>372</v>
      </c>
      <c r="V730">
        <v>217</v>
      </c>
      <c r="W730">
        <v>721</v>
      </c>
      <c r="X730">
        <v>641</v>
      </c>
      <c r="Y730">
        <v>531</v>
      </c>
      <c r="Z730">
        <f t="shared" si="102"/>
        <v>458</v>
      </c>
      <c r="AA730">
        <v>384</v>
      </c>
      <c r="AB730">
        <f t="shared" si="103"/>
        <v>270</v>
      </c>
      <c r="AC730">
        <v>156</v>
      </c>
    </row>
    <row r="731" spans="1:29" x14ac:dyDescent="0.25">
      <c r="A731" t="s">
        <v>738</v>
      </c>
      <c r="B731">
        <v>1900</v>
      </c>
      <c r="C731">
        <v>1652</v>
      </c>
      <c r="D731">
        <v>1336</v>
      </c>
      <c r="E731">
        <f t="shared" si="96"/>
        <v>1140</v>
      </c>
      <c r="F731">
        <v>943</v>
      </c>
      <c r="G731">
        <f t="shared" si="97"/>
        <v>655</v>
      </c>
      <c r="H731">
        <v>366</v>
      </c>
      <c r="I731">
        <v>1200</v>
      </c>
      <c r="J731">
        <v>1036</v>
      </c>
      <c r="K731">
        <v>830</v>
      </c>
      <c r="L731">
        <f t="shared" si="98"/>
        <v>706</v>
      </c>
      <c r="M731">
        <v>581</v>
      </c>
      <c r="N731">
        <f t="shared" si="99"/>
        <v>403</v>
      </c>
      <c r="O731">
        <v>224</v>
      </c>
      <c r="P731">
        <v>1424</v>
      </c>
      <c r="Q731">
        <v>1264</v>
      </c>
      <c r="R731">
        <v>1046</v>
      </c>
      <c r="S731">
        <f t="shared" si="100"/>
        <v>906</v>
      </c>
      <c r="T731">
        <v>766</v>
      </c>
      <c r="U731">
        <f t="shared" si="101"/>
        <v>543</v>
      </c>
      <c r="V731">
        <v>319</v>
      </c>
      <c r="W731">
        <v>900</v>
      </c>
      <c r="X731">
        <v>792</v>
      </c>
      <c r="Y731">
        <v>650</v>
      </c>
      <c r="Z731">
        <f t="shared" si="102"/>
        <v>561</v>
      </c>
      <c r="AA731">
        <v>472</v>
      </c>
      <c r="AB731">
        <f t="shared" si="103"/>
        <v>334</v>
      </c>
      <c r="AC731">
        <v>195</v>
      </c>
    </row>
    <row r="732" spans="1:29" x14ac:dyDescent="0.25">
      <c r="A732" t="s">
        <v>739</v>
      </c>
      <c r="B732">
        <v>1777</v>
      </c>
      <c r="C732">
        <v>1551</v>
      </c>
      <c r="D732">
        <v>1259</v>
      </c>
      <c r="E732">
        <f t="shared" si="96"/>
        <v>1075</v>
      </c>
      <c r="F732">
        <v>890</v>
      </c>
      <c r="G732">
        <f t="shared" si="97"/>
        <v>618</v>
      </c>
      <c r="H732">
        <v>345</v>
      </c>
      <c r="I732">
        <v>1153</v>
      </c>
      <c r="J732">
        <v>996</v>
      </c>
      <c r="K732">
        <v>800</v>
      </c>
      <c r="L732">
        <f t="shared" si="98"/>
        <v>680</v>
      </c>
      <c r="M732">
        <v>560</v>
      </c>
      <c r="N732">
        <f t="shared" si="99"/>
        <v>387</v>
      </c>
      <c r="O732">
        <v>214</v>
      </c>
      <c r="P732">
        <v>1332</v>
      </c>
      <c r="Q732">
        <v>1187</v>
      </c>
      <c r="R732">
        <v>985</v>
      </c>
      <c r="S732">
        <f t="shared" si="100"/>
        <v>854</v>
      </c>
      <c r="T732">
        <v>723</v>
      </c>
      <c r="U732">
        <f t="shared" si="101"/>
        <v>512</v>
      </c>
      <c r="V732">
        <v>301</v>
      </c>
      <c r="W732">
        <v>864</v>
      </c>
      <c r="X732">
        <v>762</v>
      </c>
      <c r="Y732">
        <v>626</v>
      </c>
      <c r="Z732">
        <f t="shared" si="102"/>
        <v>541</v>
      </c>
      <c r="AA732">
        <v>455</v>
      </c>
      <c r="AB732">
        <f t="shared" si="103"/>
        <v>321</v>
      </c>
      <c r="AC732">
        <v>187</v>
      </c>
    </row>
    <row r="733" spans="1:29" x14ac:dyDescent="0.25">
      <c r="A733" t="s">
        <v>740</v>
      </c>
      <c r="B733">
        <v>1649</v>
      </c>
      <c r="C733">
        <v>1446</v>
      </c>
      <c r="D733">
        <v>1178</v>
      </c>
      <c r="E733">
        <f t="shared" si="96"/>
        <v>1007</v>
      </c>
      <c r="F733">
        <v>835</v>
      </c>
      <c r="G733">
        <f t="shared" si="97"/>
        <v>580</v>
      </c>
      <c r="H733">
        <v>324</v>
      </c>
      <c r="I733">
        <v>1105</v>
      </c>
      <c r="J733">
        <v>957</v>
      </c>
      <c r="K733">
        <v>770</v>
      </c>
      <c r="L733">
        <f t="shared" si="98"/>
        <v>655</v>
      </c>
      <c r="M733">
        <v>539</v>
      </c>
      <c r="N733">
        <f t="shared" si="99"/>
        <v>373</v>
      </c>
      <c r="O733">
        <v>207</v>
      </c>
      <c r="P733">
        <v>1236</v>
      </c>
      <c r="Q733">
        <v>1106</v>
      </c>
      <c r="R733">
        <v>922</v>
      </c>
      <c r="S733">
        <f t="shared" si="100"/>
        <v>800</v>
      </c>
      <c r="T733">
        <v>678</v>
      </c>
      <c r="U733">
        <f t="shared" si="101"/>
        <v>480</v>
      </c>
      <c r="V733">
        <v>282</v>
      </c>
      <c r="W733">
        <v>829</v>
      </c>
      <c r="X733">
        <v>732</v>
      </c>
      <c r="Y733">
        <v>603</v>
      </c>
      <c r="Z733">
        <f t="shared" si="102"/>
        <v>521</v>
      </c>
      <c r="AA733">
        <v>438</v>
      </c>
      <c r="AB733">
        <f t="shared" si="103"/>
        <v>309</v>
      </c>
      <c r="AC733">
        <v>180</v>
      </c>
    </row>
    <row r="734" spans="1:29" x14ac:dyDescent="0.25">
      <c r="A734" t="s">
        <v>741</v>
      </c>
      <c r="B734">
        <v>1518</v>
      </c>
      <c r="C734">
        <v>1338</v>
      </c>
      <c r="D734">
        <v>1094</v>
      </c>
      <c r="E734">
        <f t="shared" si="96"/>
        <v>936</v>
      </c>
      <c r="F734">
        <v>777</v>
      </c>
      <c r="G734">
        <f t="shared" si="97"/>
        <v>539</v>
      </c>
      <c r="H734">
        <v>300</v>
      </c>
      <c r="I734">
        <v>1059</v>
      </c>
      <c r="J734">
        <v>919</v>
      </c>
      <c r="K734">
        <v>740</v>
      </c>
      <c r="L734">
        <f t="shared" si="98"/>
        <v>629</v>
      </c>
      <c r="M734">
        <v>518</v>
      </c>
      <c r="N734">
        <f t="shared" si="99"/>
        <v>357</v>
      </c>
      <c r="O734">
        <v>196</v>
      </c>
      <c r="P734">
        <v>1138</v>
      </c>
      <c r="Q734">
        <v>1024</v>
      </c>
      <c r="R734">
        <v>856</v>
      </c>
      <c r="S734">
        <f t="shared" si="100"/>
        <v>744</v>
      </c>
      <c r="T734">
        <v>631</v>
      </c>
      <c r="U734">
        <f t="shared" si="101"/>
        <v>447</v>
      </c>
      <c r="V734">
        <v>262</v>
      </c>
      <c r="W734">
        <v>794</v>
      </c>
      <c r="X734">
        <v>703</v>
      </c>
      <c r="Y734">
        <v>579</v>
      </c>
      <c r="Z734">
        <f t="shared" si="102"/>
        <v>500</v>
      </c>
      <c r="AA734">
        <v>420</v>
      </c>
      <c r="AB734">
        <f t="shared" si="103"/>
        <v>296</v>
      </c>
      <c r="AC734">
        <v>171</v>
      </c>
    </row>
    <row r="735" spans="1:29" x14ac:dyDescent="0.25">
      <c r="A735" t="s">
        <v>742</v>
      </c>
      <c r="B735">
        <v>1380</v>
      </c>
      <c r="C735">
        <v>1222</v>
      </c>
      <c r="D735">
        <v>1004</v>
      </c>
      <c r="E735">
        <f t="shared" si="96"/>
        <v>860</v>
      </c>
      <c r="F735">
        <v>715</v>
      </c>
      <c r="G735">
        <f t="shared" si="97"/>
        <v>495</v>
      </c>
      <c r="H735">
        <v>275</v>
      </c>
      <c r="I735">
        <v>1011</v>
      </c>
      <c r="J735">
        <v>879</v>
      </c>
      <c r="K735">
        <v>709</v>
      </c>
      <c r="L735">
        <f t="shared" si="98"/>
        <v>602</v>
      </c>
      <c r="M735">
        <v>495</v>
      </c>
      <c r="N735">
        <f t="shared" si="99"/>
        <v>341</v>
      </c>
      <c r="O735">
        <v>187</v>
      </c>
      <c r="P735">
        <v>1035</v>
      </c>
      <c r="Q735">
        <v>935</v>
      </c>
      <c r="R735">
        <v>786</v>
      </c>
      <c r="S735">
        <f t="shared" si="100"/>
        <v>684</v>
      </c>
      <c r="T735">
        <v>581</v>
      </c>
      <c r="U735">
        <f t="shared" si="101"/>
        <v>411</v>
      </c>
      <c r="V735">
        <v>240</v>
      </c>
      <c r="W735">
        <v>758</v>
      </c>
      <c r="X735">
        <v>672</v>
      </c>
      <c r="Y735">
        <v>555</v>
      </c>
      <c r="Z735">
        <f t="shared" si="102"/>
        <v>479</v>
      </c>
      <c r="AA735">
        <v>403</v>
      </c>
      <c r="AB735">
        <f t="shared" si="103"/>
        <v>283</v>
      </c>
      <c r="AC735">
        <v>163</v>
      </c>
    </row>
    <row r="736" spans="1:29" x14ac:dyDescent="0.25">
      <c r="A736" t="s">
        <v>743</v>
      </c>
      <c r="B736">
        <v>1231</v>
      </c>
      <c r="C736">
        <v>1094</v>
      </c>
      <c r="D736">
        <v>903</v>
      </c>
      <c r="E736">
        <f t="shared" si="96"/>
        <v>774</v>
      </c>
      <c r="F736">
        <v>644</v>
      </c>
      <c r="G736">
        <f t="shared" si="97"/>
        <v>447</v>
      </c>
      <c r="H736">
        <v>249</v>
      </c>
      <c r="I736">
        <v>962</v>
      </c>
      <c r="J736">
        <v>836</v>
      </c>
      <c r="K736">
        <v>677</v>
      </c>
      <c r="L736">
        <f t="shared" si="98"/>
        <v>575</v>
      </c>
      <c r="M736">
        <v>472</v>
      </c>
      <c r="N736">
        <f t="shared" si="99"/>
        <v>326</v>
      </c>
      <c r="O736">
        <v>179</v>
      </c>
      <c r="P736">
        <v>923</v>
      </c>
      <c r="Q736">
        <v>837</v>
      </c>
      <c r="R736">
        <v>707</v>
      </c>
      <c r="S736">
        <f t="shared" si="100"/>
        <v>616</v>
      </c>
      <c r="T736">
        <v>524</v>
      </c>
      <c r="U736">
        <f t="shared" si="101"/>
        <v>371</v>
      </c>
      <c r="V736">
        <v>217</v>
      </c>
      <c r="W736">
        <v>721</v>
      </c>
      <c r="X736">
        <v>640</v>
      </c>
      <c r="Y736">
        <v>530</v>
      </c>
      <c r="Z736">
        <f t="shared" si="102"/>
        <v>457</v>
      </c>
      <c r="AA736">
        <v>384</v>
      </c>
      <c r="AB736">
        <f t="shared" si="103"/>
        <v>270</v>
      </c>
      <c r="AC736">
        <v>156</v>
      </c>
    </row>
    <row r="737" spans="1:29" x14ac:dyDescent="0.25">
      <c r="A737" t="s">
        <v>744</v>
      </c>
      <c r="B737">
        <v>1080</v>
      </c>
      <c r="C737">
        <v>957</v>
      </c>
      <c r="D737">
        <v>793</v>
      </c>
      <c r="E737">
        <f t="shared" si="96"/>
        <v>681</v>
      </c>
      <c r="F737">
        <v>569</v>
      </c>
      <c r="G737">
        <f t="shared" si="97"/>
        <v>393</v>
      </c>
      <c r="H737">
        <v>216</v>
      </c>
      <c r="I737">
        <v>917</v>
      </c>
      <c r="J737">
        <v>793</v>
      </c>
      <c r="K737">
        <v>642</v>
      </c>
      <c r="L737">
        <f t="shared" si="98"/>
        <v>545</v>
      </c>
      <c r="M737">
        <v>447</v>
      </c>
      <c r="N737">
        <f t="shared" si="99"/>
        <v>308</v>
      </c>
      <c r="O737">
        <v>168</v>
      </c>
      <c r="P737">
        <v>810</v>
      </c>
      <c r="Q737">
        <v>732</v>
      </c>
      <c r="R737">
        <v>621</v>
      </c>
      <c r="S737">
        <f t="shared" si="100"/>
        <v>542</v>
      </c>
      <c r="T737">
        <v>462</v>
      </c>
      <c r="U737">
        <f t="shared" si="101"/>
        <v>325</v>
      </c>
      <c r="V737">
        <v>188</v>
      </c>
      <c r="W737">
        <v>688</v>
      </c>
      <c r="X737">
        <v>607</v>
      </c>
      <c r="Y737">
        <v>503</v>
      </c>
      <c r="Z737">
        <f t="shared" si="102"/>
        <v>433</v>
      </c>
      <c r="AA737">
        <v>363</v>
      </c>
      <c r="AB737">
        <f t="shared" si="103"/>
        <v>255</v>
      </c>
      <c r="AC737">
        <v>146</v>
      </c>
    </row>
    <row r="738" spans="1:29" x14ac:dyDescent="0.25">
      <c r="A738" t="s">
        <v>745</v>
      </c>
      <c r="B738">
        <v>1772</v>
      </c>
      <c r="C738">
        <v>1545</v>
      </c>
      <c r="D738">
        <v>1252</v>
      </c>
      <c r="E738">
        <f t="shared" si="96"/>
        <v>1068</v>
      </c>
      <c r="F738">
        <v>883</v>
      </c>
      <c r="G738">
        <f t="shared" si="97"/>
        <v>612</v>
      </c>
      <c r="H738">
        <v>341</v>
      </c>
      <c r="I738">
        <v>1151</v>
      </c>
      <c r="J738">
        <v>994</v>
      </c>
      <c r="K738">
        <v>797</v>
      </c>
      <c r="L738">
        <f t="shared" si="98"/>
        <v>678</v>
      </c>
      <c r="M738">
        <v>558</v>
      </c>
      <c r="N738">
        <f t="shared" si="99"/>
        <v>386</v>
      </c>
      <c r="O738">
        <v>213</v>
      </c>
      <c r="P738">
        <v>1328</v>
      </c>
      <c r="Q738">
        <v>1182</v>
      </c>
      <c r="R738">
        <v>980</v>
      </c>
      <c r="S738">
        <f t="shared" si="100"/>
        <v>849</v>
      </c>
      <c r="T738">
        <v>717</v>
      </c>
      <c r="U738">
        <f t="shared" si="101"/>
        <v>507</v>
      </c>
      <c r="V738">
        <v>297</v>
      </c>
      <c r="W738">
        <v>863</v>
      </c>
      <c r="X738">
        <v>760</v>
      </c>
      <c r="Y738">
        <v>624</v>
      </c>
      <c r="Z738">
        <f t="shared" si="102"/>
        <v>539</v>
      </c>
      <c r="AA738">
        <v>453</v>
      </c>
      <c r="AB738">
        <f t="shared" si="103"/>
        <v>319</v>
      </c>
      <c r="AC738">
        <v>185</v>
      </c>
    </row>
    <row r="739" spans="1:29" x14ac:dyDescent="0.25">
      <c r="A739" t="s">
        <v>746</v>
      </c>
      <c r="B739">
        <v>1643</v>
      </c>
      <c r="C739">
        <v>1439</v>
      </c>
      <c r="D739">
        <v>1171</v>
      </c>
      <c r="E739">
        <f t="shared" si="96"/>
        <v>1000</v>
      </c>
      <c r="F739">
        <v>829</v>
      </c>
      <c r="G739">
        <f t="shared" si="97"/>
        <v>575</v>
      </c>
      <c r="H739">
        <v>320</v>
      </c>
      <c r="I739">
        <v>1103</v>
      </c>
      <c r="J739">
        <v>955</v>
      </c>
      <c r="K739">
        <v>768</v>
      </c>
      <c r="L739">
        <f t="shared" si="98"/>
        <v>653</v>
      </c>
      <c r="M739">
        <v>537</v>
      </c>
      <c r="N739">
        <f t="shared" si="99"/>
        <v>371</v>
      </c>
      <c r="O739">
        <v>205</v>
      </c>
      <c r="P739">
        <v>1232</v>
      </c>
      <c r="Q739">
        <v>1101</v>
      </c>
      <c r="R739">
        <v>916</v>
      </c>
      <c r="S739">
        <f t="shared" si="100"/>
        <v>795</v>
      </c>
      <c r="T739">
        <v>673</v>
      </c>
      <c r="U739">
        <f t="shared" si="101"/>
        <v>476</v>
      </c>
      <c r="V739">
        <v>278</v>
      </c>
      <c r="W739">
        <v>827</v>
      </c>
      <c r="X739">
        <v>731</v>
      </c>
      <c r="Y739">
        <v>601</v>
      </c>
      <c r="Z739">
        <f t="shared" si="102"/>
        <v>519</v>
      </c>
      <c r="AA739">
        <v>436</v>
      </c>
      <c r="AB739">
        <f t="shared" si="103"/>
        <v>307</v>
      </c>
      <c r="AC739">
        <v>178</v>
      </c>
    </row>
    <row r="740" spans="1:29" x14ac:dyDescent="0.25">
      <c r="A740" t="s">
        <v>747</v>
      </c>
      <c r="B740">
        <v>1512</v>
      </c>
      <c r="C740">
        <v>1330</v>
      </c>
      <c r="D740">
        <v>1087</v>
      </c>
      <c r="E740">
        <f t="shared" si="96"/>
        <v>929</v>
      </c>
      <c r="F740">
        <v>771</v>
      </c>
      <c r="G740">
        <f t="shared" si="97"/>
        <v>534</v>
      </c>
      <c r="H740">
        <v>297</v>
      </c>
      <c r="I740">
        <v>1056</v>
      </c>
      <c r="J740">
        <v>916</v>
      </c>
      <c r="K740">
        <v>738</v>
      </c>
      <c r="L740">
        <f t="shared" si="98"/>
        <v>627</v>
      </c>
      <c r="M740">
        <v>515</v>
      </c>
      <c r="N740">
        <f t="shared" si="99"/>
        <v>356</v>
      </c>
      <c r="O740">
        <v>196</v>
      </c>
      <c r="P740">
        <v>1133</v>
      </c>
      <c r="Q740">
        <v>1017</v>
      </c>
      <c r="R740">
        <v>851</v>
      </c>
      <c r="S740">
        <f t="shared" si="100"/>
        <v>739</v>
      </c>
      <c r="T740">
        <v>626</v>
      </c>
      <c r="U740">
        <f t="shared" si="101"/>
        <v>443</v>
      </c>
      <c r="V740">
        <v>259</v>
      </c>
      <c r="W740">
        <v>791</v>
      </c>
      <c r="X740">
        <v>701</v>
      </c>
      <c r="Y740">
        <v>577</v>
      </c>
      <c r="Z740">
        <f t="shared" si="102"/>
        <v>498</v>
      </c>
      <c r="AA740">
        <v>418</v>
      </c>
      <c r="AB740">
        <f t="shared" si="103"/>
        <v>294</v>
      </c>
      <c r="AC740">
        <v>170</v>
      </c>
    </row>
    <row r="741" spans="1:29" x14ac:dyDescent="0.25">
      <c r="A741" t="s">
        <v>748</v>
      </c>
      <c r="B741">
        <v>1373</v>
      </c>
      <c r="C741">
        <v>1213</v>
      </c>
      <c r="D741">
        <v>996</v>
      </c>
      <c r="E741">
        <f t="shared" si="96"/>
        <v>853</v>
      </c>
      <c r="F741">
        <v>710</v>
      </c>
      <c r="G741">
        <f t="shared" si="97"/>
        <v>492</v>
      </c>
      <c r="H741">
        <v>273</v>
      </c>
      <c r="I741">
        <v>1008</v>
      </c>
      <c r="J741">
        <v>876</v>
      </c>
      <c r="K741">
        <v>707</v>
      </c>
      <c r="L741">
        <f t="shared" si="98"/>
        <v>601</v>
      </c>
      <c r="M741">
        <v>494</v>
      </c>
      <c r="N741">
        <f t="shared" si="99"/>
        <v>340</v>
      </c>
      <c r="O741">
        <v>186</v>
      </c>
      <c r="P741">
        <v>1029</v>
      </c>
      <c r="Q741">
        <v>928</v>
      </c>
      <c r="R741">
        <v>780</v>
      </c>
      <c r="S741">
        <f t="shared" si="100"/>
        <v>678</v>
      </c>
      <c r="T741">
        <v>576</v>
      </c>
      <c r="U741">
        <f t="shared" si="101"/>
        <v>407</v>
      </c>
      <c r="V741">
        <v>238</v>
      </c>
      <c r="W741">
        <v>756</v>
      </c>
      <c r="X741">
        <v>670</v>
      </c>
      <c r="Y741">
        <v>553</v>
      </c>
      <c r="Z741">
        <f t="shared" si="102"/>
        <v>477</v>
      </c>
      <c r="AA741">
        <v>401</v>
      </c>
      <c r="AB741">
        <f t="shared" si="103"/>
        <v>282</v>
      </c>
      <c r="AC741">
        <v>163</v>
      </c>
    </row>
    <row r="742" spans="1:29" x14ac:dyDescent="0.25">
      <c r="A742" t="s">
        <v>749</v>
      </c>
      <c r="B742">
        <v>1227</v>
      </c>
      <c r="C742">
        <v>1089</v>
      </c>
      <c r="D742">
        <v>898</v>
      </c>
      <c r="E742">
        <f t="shared" si="96"/>
        <v>770</v>
      </c>
      <c r="F742">
        <v>641</v>
      </c>
      <c r="G742">
        <f t="shared" si="97"/>
        <v>444</v>
      </c>
      <c r="H742">
        <v>246</v>
      </c>
      <c r="I742">
        <v>960</v>
      </c>
      <c r="J742">
        <v>835</v>
      </c>
      <c r="K742">
        <v>674</v>
      </c>
      <c r="L742">
        <f t="shared" si="98"/>
        <v>573</v>
      </c>
      <c r="M742">
        <v>472</v>
      </c>
      <c r="N742">
        <f t="shared" si="99"/>
        <v>325</v>
      </c>
      <c r="O742">
        <v>177</v>
      </c>
      <c r="P742">
        <v>919</v>
      </c>
      <c r="Q742">
        <v>834</v>
      </c>
      <c r="R742">
        <v>703</v>
      </c>
      <c r="S742">
        <f t="shared" si="100"/>
        <v>612</v>
      </c>
      <c r="T742">
        <v>520</v>
      </c>
      <c r="U742">
        <f t="shared" si="101"/>
        <v>367</v>
      </c>
      <c r="V742">
        <v>214</v>
      </c>
      <c r="W742">
        <v>719</v>
      </c>
      <c r="X742">
        <v>639</v>
      </c>
      <c r="Y742">
        <v>528</v>
      </c>
      <c r="Z742">
        <f t="shared" si="102"/>
        <v>456</v>
      </c>
      <c r="AA742">
        <v>383</v>
      </c>
      <c r="AB742">
        <f t="shared" si="103"/>
        <v>269</v>
      </c>
      <c r="AC742">
        <v>154</v>
      </c>
    </row>
    <row r="743" spans="1:29" x14ac:dyDescent="0.25">
      <c r="A743" t="s">
        <v>750</v>
      </c>
      <c r="B743">
        <v>1076</v>
      </c>
      <c r="C743">
        <v>952</v>
      </c>
      <c r="D743">
        <v>790</v>
      </c>
      <c r="E743">
        <f t="shared" si="96"/>
        <v>678</v>
      </c>
      <c r="F743">
        <v>565</v>
      </c>
      <c r="G743">
        <f t="shared" si="97"/>
        <v>390</v>
      </c>
      <c r="H743">
        <v>215</v>
      </c>
      <c r="I743">
        <v>916</v>
      </c>
      <c r="J743">
        <v>791</v>
      </c>
      <c r="K743">
        <v>641</v>
      </c>
      <c r="L743">
        <f t="shared" si="98"/>
        <v>544</v>
      </c>
      <c r="M743">
        <v>447</v>
      </c>
      <c r="N743">
        <f t="shared" si="99"/>
        <v>308</v>
      </c>
      <c r="O743">
        <v>168</v>
      </c>
      <c r="P743">
        <v>806</v>
      </c>
      <c r="Q743">
        <v>729</v>
      </c>
      <c r="R743">
        <v>618</v>
      </c>
      <c r="S743">
        <f t="shared" si="100"/>
        <v>539</v>
      </c>
      <c r="T743">
        <v>459</v>
      </c>
      <c r="U743">
        <f t="shared" si="101"/>
        <v>323</v>
      </c>
      <c r="V743">
        <v>187</v>
      </c>
      <c r="W743">
        <v>686</v>
      </c>
      <c r="X743">
        <v>606</v>
      </c>
      <c r="Y743">
        <v>502</v>
      </c>
      <c r="Z743">
        <f t="shared" si="102"/>
        <v>433</v>
      </c>
      <c r="AA743">
        <v>363</v>
      </c>
      <c r="AB743">
        <f t="shared" si="103"/>
        <v>255</v>
      </c>
      <c r="AC743">
        <v>146</v>
      </c>
    </row>
    <row r="744" spans="1:29" x14ac:dyDescent="0.25">
      <c r="A744" t="s">
        <v>751</v>
      </c>
      <c r="B744">
        <v>901</v>
      </c>
      <c r="C744">
        <v>806</v>
      </c>
      <c r="D744">
        <v>672</v>
      </c>
      <c r="E744">
        <f t="shared" si="96"/>
        <v>578</v>
      </c>
      <c r="F744">
        <v>483</v>
      </c>
      <c r="G744">
        <f t="shared" si="97"/>
        <v>332</v>
      </c>
      <c r="H744">
        <v>181</v>
      </c>
      <c r="I744">
        <v>901</v>
      </c>
      <c r="J744">
        <v>748</v>
      </c>
      <c r="K744">
        <v>606</v>
      </c>
      <c r="L744">
        <f t="shared" si="98"/>
        <v>515</v>
      </c>
      <c r="M744">
        <v>423</v>
      </c>
      <c r="N744">
        <f t="shared" si="99"/>
        <v>290</v>
      </c>
      <c r="O744">
        <v>156</v>
      </c>
      <c r="P744">
        <v>676</v>
      </c>
      <c r="Q744">
        <v>617</v>
      </c>
      <c r="R744">
        <v>526</v>
      </c>
      <c r="S744">
        <f t="shared" si="100"/>
        <v>459</v>
      </c>
      <c r="T744">
        <v>392</v>
      </c>
      <c r="U744">
        <f t="shared" si="101"/>
        <v>275</v>
      </c>
      <c r="V744">
        <v>158</v>
      </c>
      <c r="W744">
        <v>676</v>
      </c>
      <c r="X744">
        <v>572</v>
      </c>
      <c r="Y744">
        <v>475</v>
      </c>
      <c r="Z744">
        <f t="shared" si="102"/>
        <v>409</v>
      </c>
      <c r="AA744">
        <v>343</v>
      </c>
      <c r="AB744">
        <f t="shared" si="103"/>
        <v>240</v>
      </c>
      <c r="AC744">
        <v>136</v>
      </c>
    </row>
    <row r="745" spans="1:29" x14ac:dyDescent="0.25">
      <c r="A745" t="s">
        <v>752</v>
      </c>
      <c r="B745">
        <v>1639</v>
      </c>
      <c r="C745">
        <v>1432</v>
      </c>
      <c r="D745">
        <v>1163</v>
      </c>
      <c r="E745">
        <f t="shared" si="96"/>
        <v>992</v>
      </c>
      <c r="F745">
        <v>821</v>
      </c>
      <c r="G745">
        <f t="shared" si="97"/>
        <v>568</v>
      </c>
      <c r="H745">
        <v>315</v>
      </c>
      <c r="I745">
        <v>1102</v>
      </c>
      <c r="J745">
        <v>952</v>
      </c>
      <c r="K745">
        <v>764</v>
      </c>
      <c r="L745">
        <f t="shared" si="98"/>
        <v>649</v>
      </c>
      <c r="M745">
        <v>533</v>
      </c>
      <c r="N745">
        <f t="shared" si="99"/>
        <v>368</v>
      </c>
      <c r="O745">
        <v>203</v>
      </c>
      <c r="P745">
        <v>1228</v>
      </c>
      <c r="Q745">
        <v>1096</v>
      </c>
      <c r="R745">
        <v>911</v>
      </c>
      <c r="S745">
        <f t="shared" si="100"/>
        <v>789</v>
      </c>
      <c r="T745">
        <v>667</v>
      </c>
      <c r="U745">
        <f t="shared" si="101"/>
        <v>471</v>
      </c>
      <c r="V745">
        <v>275</v>
      </c>
      <c r="W745">
        <v>825</v>
      </c>
      <c r="X745">
        <v>729</v>
      </c>
      <c r="Y745">
        <v>598</v>
      </c>
      <c r="Z745">
        <f t="shared" si="102"/>
        <v>516</v>
      </c>
      <c r="AA745">
        <v>433</v>
      </c>
      <c r="AB745">
        <f t="shared" si="103"/>
        <v>305</v>
      </c>
      <c r="AC745">
        <v>177</v>
      </c>
    </row>
    <row r="746" spans="1:29" x14ac:dyDescent="0.25">
      <c r="A746" t="s">
        <v>753</v>
      </c>
      <c r="B746">
        <v>1504</v>
      </c>
      <c r="C746">
        <v>1322</v>
      </c>
      <c r="D746">
        <v>1078</v>
      </c>
      <c r="E746">
        <f t="shared" si="96"/>
        <v>921</v>
      </c>
      <c r="F746">
        <v>763</v>
      </c>
      <c r="G746">
        <f t="shared" si="97"/>
        <v>528</v>
      </c>
      <c r="H746">
        <v>293</v>
      </c>
      <c r="I746">
        <v>1054</v>
      </c>
      <c r="J746">
        <v>913</v>
      </c>
      <c r="K746">
        <v>734</v>
      </c>
      <c r="L746">
        <f t="shared" si="98"/>
        <v>623</v>
      </c>
      <c r="M746">
        <v>512</v>
      </c>
      <c r="N746">
        <f t="shared" si="99"/>
        <v>353</v>
      </c>
      <c r="O746">
        <v>194</v>
      </c>
      <c r="P746">
        <v>1128</v>
      </c>
      <c r="Q746">
        <v>1011</v>
      </c>
      <c r="R746">
        <v>844</v>
      </c>
      <c r="S746">
        <f t="shared" si="100"/>
        <v>732</v>
      </c>
      <c r="T746">
        <v>620</v>
      </c>
      <c r="U746">
        <f t="shared" si="101"/>
        <v>438</v>
      </c>
      <c r="V746">
        <v>255</v>
      </c>
      <c r="W746">
        <v>790</v>
      </c>
      <c r="X746">
        <v>698</v>
      </c>
      <c r="Y746">
        <v>574</v>
      </c>
      <c r="Z746">
        <f t="shared" si="102"/>
        <v>495</v>
      </c>
      <c r="AA746">
        <v>416</v>
      </c>
      <c r="AB746">
        <f t="shared" si="103"/>
        <v>293</v>
      </c>
      <c r="AC746">
        <v>169</v>
      </c>
    </row>
    <row r="747" spans="1:29" x14ac:dyDescent="0.25">
      <c r="A747" t="s">
        <v>754</v>
      </c>
      <c r="B747">
        <v>1365</v>
      </c>
      <c r="C747">
        <v>1206</v>
      </c>
      <c r="D747">
        <v>988</v>
      </c>
      <c r="E747">
        <f t="shared" si="96"/>
        <v>845</v>
      </c>
      <c r="F747">
        <v>702</v>
      </c>
      <c r="G747">
        <f t="shared" si="97"/>
        <v>486</v>
      </c>
      <c r="H747">
        <v>270</v>
      </c>
      <c r="I747">
        <v>1006</v>
      </c>
      <c r="J747">
        <v>873</v>
      </c>
      <c r="K747">
        <v>704</v>
      </c>
      <c r="L747">
        <f t="shared" si="98"/>
        <v>598</v>
      </c>
      <c r="M747">
        <v>491</v>
      </c>
      <c r="N747">
        <f t="shared" si="99"/>
        <v>338</v>
      </c>
      <c r="O747">
        <v>185</v>
      </c>
      <c r="P747">
        <v>1024</v>
      </c>
      <c r="Q747">
        <v>922</v>
      </c>
      <c r="R747">
        <v>774</v>
      </c>
      <c r="S747">
        <f t="shared" si="100"/>
        <v>672</v>
      </c>
      <c r="T747">
        <v>570</v>
      </c>
      <c r="U747">
        <f t="shared" si="101"/>
        <v>403</v>
      </c>
      <c r="V747">
        <v>235</v>
      </c>
      <c r="W747">
        <v>754</v>
      </c>
      <c r="X747">
        <v>668</v>
      </c>
      <c r="Y747">
        <v>552</v>
      </c>
      <c r="Z747">
        <f t="shared" si="102"/>
        <v>476</v>
      </c>
      <c r="AA747">
        <v>399</v>
      </c>
      <c r="AB747">
        <f t="shared" si="103"/>
        <v>280</v>
      </c>
      <c r="AC747">
        <v>161</v>
      </c>
    </row>
    <row r="748" spans="1:29" x14ac:dyDescent="0.25">
      <c r="A748" t="s">
        <v>755</v>
      </c>
      <c r="B748">
        <v>1221</v>
      </c>
      <c r="C748">
        <v>1084</v>
      </c>
      <c r="D748">
        <v>893</v>
      </c>
      <c r="E748">
        <f t="shared" si="96"/>
        <v>765</v>
      </c>
      <c r="F748">
        <v>637</v>
      </c>
      <c r="G748">
        <f t="shared" si="97"/>
        <v>441</v>
      </c>
      <c r="H748">
        <v>244</v>
      </c>
      <c r="I748">
        <v>958</v>
      </c>
      <c r="J748">
        <v>833</v>
      </c>
      <c r="K748">
        <v>673</v>
      </c>
      <c r="L748">
        <f t="shared" si="98"/>
        <v>572</v>
      </c>
      <c r="M748">
        <v>470</v>
      </c>
      <c r="N748">
        <f t="shared" si="99"/>
        <v>323</v>
      </c>
      <c r="O748">
        <v>176</v>
      </c>
      <c r="P748">
        <v>915</v>
      </c>
      <c r="Q748">
        <v>829</v>
      </c>
      <c r="R748">
        <v>699</v>
      </c>
      <c r="S748">
        <f t="shared" si="100"/>
        <v>608</v>
      </c>
      <c r="T748">
        <v>517</v>
      </c>
      <c r="U748">
        <f t="shared" si="101"/>
        <v>365</v>
      </c>
      <c r="V748">
        <v>212</v>
      </c>
      <c r="W748">
        <v>718</v>
      </c>
      <c r="X748">
        <v>637</v>
      </c>
      <c r="Y748">
        <v>527</v>
      </c>
      <c r="Z748">
        <f t="shared" si="102"/>
        <v>455</v>
      </c>
      <c r="AA748">
        <v>382</v>
      </c>
      <c r="AB748">
        <f t="shared" si="103"/>
        <v>268</v>
      </c>
      <c r="AC748">
        <v>153</v>
      </c>
    </row>
    <row r="749" spans="1:29" x14ac:dyDescent="0.25">
      <c r="A749" t="s">
        <v>756</v>
      </c>
      <c r="B749">
        <v>1071</v>
      </c>
      <c r="C749">
        <v>948</v>
      </c>
      <c r="D749">
        <v>785</v>
      </c>
      <c r="E749">
        <f t="shared" si="96"/>
        <v>674</v>
      </c>
      <c r="F749">
        <v>562</v>
      </c>
      <c r="G749">
        <f t="shared" si="97"/>
        <v>389</v>
      </c>
      <c r="H749">
        <v>216</v>
      </c>
      <c r="I749">
        <v>914</v>
      </c>
      <c r="J749">
        <v>791</v>
      </c>
      <c r="K749">
        <v>640</v>
      </c>
      <c r="L749">
        <f t="shared" si="98"/>
        <v>544</v>
      </c>
      <c r="M749">
        <v>447</v>
      </c>
      <c r="N749">
        <f t="shared" si="99"/>
        <v>308</v>
      </c>
      <c r="O749">
        <v>168</v>
      </c>
      <c r="P749">
        <v>803</v>
      </c>
      <c r="Q749">
        <v>725</v>
      </c>
      <c r="R749">
        <v>614</v>
      </c>
      <c r="S749">
        <f t="shared" si="100"/>
        <v>535</v>
      </c>
      <c r="T749">
        <v>456</v>
      </c>
      <c r="U749">
        <f t="shared" si="101"/>
        <v>322</v>
      </c>
      <c r="V749">
        <v>188</v>
      </c>
      <c r="W749">
        <v>685</v>
      </c>
      <c r="X749">
        <v>605</v>
      </c>
      <c r="Y749">
        <v>501</v>
      </c>
      <c r="Z749">
        <f t="shared" si="102"/>
        <v>432</v>
      </c>
      <c r="AA749">
        <v>362</v>
      </c>
      <c r="AB749">
        <f t="shared" si="103"/>
        <v>254</v>
      </c>
      <c r="AC749">
        <v>146</v>
      </c>
    </row>
    <row r="750" spans="1:29" x14ac:dyDescent="0.25">
      <c r="A750" t="s">
        <v>757</v>
      </c>
      <c r="B750">
        <v>894</v>
      </c>
      <c r="C750">
        <v>801</v>
      </c>
      <c r="D750">
        <v>668</v>
      </c>
      <c r="E750">
        <f t="shared" si="96"/>
        <v>574</v>
      </c>
      <c r="F750">
        <v>480</v>
      </c>
      <c r="G750">
        <f t="shared" si="97"/>
        <v>331</v>
      </c>
      <c r="H750">
        <v>181</v>
      </c>
      <c r="I750">
        <v>851</v>
      </c>
      <c r="J750">
        <v>746</v>
      </c>
      <c r="K750">
        <v>605</v>
      </c>
      <c r="L750">
        <f t="shared" si="98"/>
        <v>513</v>
      </c>
      <c r="M750">
        <v>421</v>
      </c>
      <c r="N750">
        <f t="shared" si="99"/>
        <v>289</v>
      </c>
      <c r="O750">
        <v>156</v>
      </c>
      <c r="P750">
        <v>670</v>
      </c>
      <c r="Q750">
        <v>613</v>
      </c>
      <c r="R750">
        <v>523</v>
      </c>
      <c r="S750">
        <f t="shared" si="100"/>
        <v>457</v>
      </c>
      <c r="T750">
        <v>390</v>
      </c>
      <c r="U750">
        <f t="shared" si="101"/>
        <v>274</v>
      </c>
      <c r="V750">
        <v>157</v>
      </c>
      <c r="W750">
        <v>637</v>
      </c>
      <c r="X750">
        <v>571</v>
      </c>
      <c r="Y750">
        <v>473</v>
      </c>
      <c r="Z750">
        <f t="shared" si="102"/>
        <v>408</v>
      </c>
      <c r="AA750">
        <v>342</v>
      </c>
      <c r="AB750">
        <f t="shared" si="103"/>
        <v>239</v>
      </c>
      <c r="AC750">
        <v>135</v>
      </c>
    </row>
    <row r="751" spans="1:29" x14ac:dyDescent="0.25">
      <c r="A751" t="s">
        <v>758</v>
      </c>
      <c r="B751">
        <v>843</v>
      </c>
      <c r="C751">
        <v>740</v>
      </c>
      <c r="D751">
        <v>601</v>
      </c>
      <c r="E751">
        <f t="shared" si="96"/>
        <v>511</v>
      </c>
      <c r="F751">
        <v>420</v>
      </c>
      <c r="G751">
        <f t="shared" si="97"/>
        <v>289</v>
      </c>
      <c r="H751">
        <v>157</v>
      </c>
      <c r="I751">
        <v>843</v>
      </c>
      <c r="J751">
        <v>740</v>
      </c>
      <c r="K751">
        <v>601</v>
      </c>
      <c r="L751">
        <f t="shared" si="98"/>
        <v>511</v>
      </c>
      <c r="M751">
        <v>420</v>
      </c>
      <c r="N751">
        <f t="shared" si="99"/>
        <v>289</v>
      </c>
      <c r="O751">
        <v>157</v>
      </c>
      <c r="P751">
        <v>632</v>
      </c>
      <c r="Q751">
        <v>566</v>
      </c>
      <c r="R751">
        <v>471</v>
      </c>
      <c r="S751">
        <f t="shared" si="100"/>
        <v>406</v>
      </c>
      <c r="T751">
        <v>341</v>
      </c>
      <c r="U751">
        <f t="shared" si="101"/>
        <v>239</v>
      </c>
      <c r="V751">
        <v>137</v>
      </c>
      <c r="W751">
        <v>632</v>
      </c>
      <c r="X751">
        <v>566</v>
      </c>
      <c r="Y751">
        <v>471</v>
      </c>
      <c r="Z751">
        <f t="shared" si="102"/>
        <v>406</v>
      </c>
      <c r="AA751">
        <v>341</v>
      </c>
      <c r="AB751">
        <f t="shared" si="103"/>
        <v>239</v>
      </c>
      <c r="AC751">
        <v>137</v>
      </c>
    </row>
    <row r="752" spans="1:29" x14ac:dyDescent="0.25">
      <c r="A752" t="s">
        <v>759</v>
      </c>
      <c r="B752">
        <v>1497</v>
      </c>
      <c r="C752">
        <v>1313</v>
      </c>
      <c r="D752">
        <v>1069</v>
      </c>
      <c r="E752">
        <f t="shared" si="96"/>
        <v>912</v>
      </c>
      <c r="F752">
        <v>755</v>
      </c>
      <c r="G752">
        <f t="shared" si="97"/>
        <v>522</v>
      </c>
      <c r="H752">
        <v>289</v>
      </c>
      <c r="I752">
        <v>1052</v>
      </c>
      <c r="J752">
        <v>911</v>
      </c>
      <c r="K752">
        <v>732</v>
      </c>
      <c r="L752">
        <f t="shared" si="98"/>
        <v>621</v>
      </c>
      <c r="M752">
        <v>510</v>
      </c>
      <c r="N752">
        <f t="shared" si="99"/>
        <v>351</v>
      </c>
      <c r="O752">
        <v>192</v>
      </c>
      <c r="P752">
        <v>1122</v>
      </c>
      <c r="Q752">
        <v>1005</v>
      </c>
      <c r="R752">
        <v>837</v>
      </c>
      <c r="S752">
        <f t="shared" si="100"/>
        <v>725</v>
      </c>
      <c r="T752">
        <v>613</v>
      </c>
      <c r="U752">
        <f t="shared" si="101"/>
        <v>433</v>
      </c>
      <c r="V752">
        <v>252</v>
      </c>
      <c r="W752">
        <v>788</v>
      </c>
      <c r="X752">
        <v>697</v>
      </c>
      <c r="Y752">
        <v>573</v>
      </c>
      <c r="Z752">
        <f t="shared" si="102"/>
        <v>494</v>
      </c>
      <c r="AA752">
        <v>414</v>
      </c>
      <c r="AB752">
        <f t="shared" si="103"/>
        <v>291</v>
      </c>
      <c r="AC752">
        <v>168</v>
      </c>
    </row>
    <row r="753" spans="1:29" x14ac:dyDescent="0.25">
      <c r="A753" t="s">
        <v>760</v>
      </c>
      <c r="B753">
        <v>1357</v>
      </c>
      <c r="C753">
        <v>1197</v>
      </c>
      <c r="D753">
        <v>979</v>
      </c>
      <c r="E753">
        <f t="shared" si="96"/>
        <v>837</v>
      </c>
      <c r="F753">
        <v>695</v>
      </c>
      <c r="G753">
        <f t="shared" si="97"/>
        <v>480</v>
      </c>
      <c r="H753">
        <v>265</v>
      </c>
      <c r="I753">
        <v>1004</v>
      </c>
      <c r="J753">
        <v>871</v>
      </c>
      <c r="K753">
        <v>701</v>
      </c>
      <c r="L753">
        <f t="shared" si="98"/>
        <v>595</v>
      </c>
      <c r="M753">
        <v>489</v>
      </c>
      <c r="N753">
        <f t="shared" si="99"/>
        <v>337</v>
      </c>
      <c r="O753">
        <v>184</v>
      </c>
      <c r="P753">
        <v>1017</v>
      </c>
      <c r="Q753">
        <v>916</v>
      </c>
      <c r="R753">
        <v>767</v>
      </c>
      <c r="S753">
        <f t="shared" si="100"/>
        <v>666</v>
      </c>
      <c r="T753">
        <v>564</v>
      </c>
      <c r="U753">
        <f t="shared" si="101"/>
        <v>398</v>
      </c>
      <c r="V753">
        <v>231</v>
      </c>
      <c r="W753">
        <v>752</v>
      </c>
      <c r="X753">
        <v>666</v>
      </c>
      <c r="Y753">
        <v>549</v>
      </c>
      <c r="Z753">
        <f t="shared" si="102"/>
        <v>473</v>
      </c>
      <c r="AA753">
        <v>397</v>
      </c>
      <c r="AB753">
        <f t="shared" si="103"/>
        <v>279</v>
      </c>
      <c r="AC753">
        <v>160</v>
      </c>
    </row>
    <row r="754" spans="1:29" x14ac:dyDescent="0.25">
      <c r="A754" t="s">
        <v>761</v>
      </c>
      <c r="B754">
        <v>1212</v>
      </c>
      <c r="C754">
        <v>1073</v>
      </c>
      <c r="D754">
        <v>885</v>
      </c>
      <c r="E754">
        <f t="shared" si="96"/>
        <v>758</v>
      </c>
      <c r="F754">
        <v>631</v>
      </c>
      <c r="G754">
        <f t="shared" si="97"/>
        <v>436</v>
      </c>
      <c r="H754">
        <v>241</v>
      </c>
      <c r="I754">
        <v>955</v>
      </c>
      <c r="J754">
        <v>830</v>
      </c>
      <c r="K754">
        <v>671</v>
      </c>
      <c r="L754">
        <f t="shared" si="98"/>
        <v>570</v>
      </c>
      <c r="M754">
        <v>468</v>
      </c>
      <c r="N754">
        <f t="shared" si="99"/>
        <v>322</v>
      </c>
      <c r="O754">
        <v>175</v>
      </c>
      <c r="P754">
        <v>908</v>
      </c>
      <c r="Q754">
        <v>821</v>
      </c>
      <c r="R754">
        <v>693</v>
      </c>
      <c r="S754">
        <f t="shared" si="100"/>
        <v>603</v>
      </c>
      <c r="T754">
        <v>512</v>
      </c>
      <c r="U754">
        <f t="shared" si="101"/>
        <v>361</v>
      </c>
      <c r="V754">
        <v>210</v>
      </c>
      <c r="W754">
        <v>716</v>
      </c>
      <c r="X754">
        <v>635</v>
      </c>
      <c r="Y754">
        <v>525</v>
      </c>
      <c r="Z754">
        <f t="shared" si="102"/>
        <v>453</v>
      </c>
      <c r="AA754">
        <v>380</v>
      </c>
      <c r="AB754">
        <f t="shared" si="103"/>
        <v>267</v>
      </c>
      <c r="AC754">
        <v>153</v>
      </c>
    </row>
    <row r="755" spans="1:29" x14ac:dyDescent="0.25">
      <c r="A755" t="s">
        <v>762</v>
      </c>
      <c r="B755">
        <v>1066</v>
      </c>
      <c r="C755">
        <v>941</v>
      </c>
      <c r="D755">
        <v>780</v>
      </c>
      <c r="E755">
        <f t="shared" si="96"/>
        <v>669</v>
      </c>
      <c r="F755">
        <v>558</v>
      </c>
      <c r="G755">
        <f t="shared" si="97"/>
        <v>385</v>
      </c>
      <c r="H755">
        <v>212</v>
      </c>
      <c r="I755">
        <v>913</v>
      </c>
      <c r="J755">
        <v>788</v>
      </c>
      <c r="K755">
        <v>638</v>
      </c>
      <c r="L755">
        <f t="shared" si="98"/>
        <v>542</v>
      </c>
      <c r="M755">
        <v>445</v>
      </c>
      <c r="N755">
        <f t="shared" si="99"/>
        <v>305</v>
      </c>
      <c r="O755">
        <v>165</v>
      </c>
      <c r="P755">
        <v>799</v>
      </c>
      <c r="Q755">
        <v>720</v>
      </c>
      <c r="R755">
        <v>611</v>
      </c>
      <c r="S755">
        <f t="shared" si="100"/>
        <v>532</v>
      </c>
      <c r="T755">
        <v>453</v>
      </c>
      <c r="U755">
        <f t="shared" si="101"/>
        <v>319</v>
      </c>
      <c r="V755">
        <v>185</v>
      </c>
      <c r="W755">
        <v>685</v>
      </c>
      <c r="X755">
        <v>603</v>
      </c>
      <c r="Y755">
        <v>499</v>
      </c>
      <c r="Z755">
        <f t="shared" si="102"/>
        <v>430</v>
      </c>
      <c r="AA755">
        <v>361</v>
      </c>
      <c r="AB755">
        <f t="shared" si="103"/>
        <v>253</v>
      </c>
      <c r="AC755">
        <v>144</v>
      </c>
    </row>
    <row r="756" spans="1:29" x14ac:dyDescent="0.25">
      <c r="A756" t="s">
        <v>763</v>
      </c>
      <c r="B756">
        <v>892</v>
      </c>
      <c r="C756">
        <v>797</v>
      </c>
      <c r="D756">
        <v>663</v>
      </c>
      <c r="E756">
        <f t="shared" si="96"/>
        <v>570</v>
      </c>
      <c r="F756">
        <v>476</v>
      </c>
      <c r="G756">
        <f t="shared" si="97"/>
        <v>328</v>
      </c>
      <c r="H756">
        <v>180</v>
      </c>
      <c r="I756">
        <v>852</v>
      </c>
      <c r="J756">
        <v>745</v>
      </c>
      <c r="K756">
        <v>602</v>
      </c>
      <c r="L756">
        <f t="shared" si="98"/>
        <v>512</v>
      </c>
      <c r="M756">
        <v>421</v>
      </c>
      <c r="N756">
        <f t="shared" si="99"/>
        <v>289</v>
      </c>
      <c r="O756">
        <v>156</v>
      </c>
      <c r="P756">
        <v>668</v>
      </c>
      <c r="Q756">
        <v>610</v>
      </c>
      <c r="R756">
        <v>519</v>
      </c>
      <c r="S756">
        <f t="shared" si="100"/>
        <v>453</v>
      </c>
      <c r="T756">
        <v>387</v>
      </c>
      <c r="U756">
        <f t="shared" si="101"/>
        <v>272</v>
      </c>
      <c r="V756">
        <v>157</v>
      </c>
      <c r="W756">
        <v>638</v>
      </c>
      <c r="X756">
        <v>570</v>
      </c>
      <c r="Y756">
        <v>471</v>
      </c>
      <c r="Z756">
        <f t="shared" si="102"/>
        <v>407</v>
      </c>
      <c r="AA756">
        <v>342</v>
      </c>
      <c r="AB756">
        <f t="shared" si="103"/>
        <v>239</v>
      </c>
      <c r="AC756">
        <v>136</v>
      </c>
    </row>
    <row r="757" spans="1:29" x14ac:dyDescent="0.25">
      <c r="A757" t="s">
        <v>764</v>
      </c>
      <c r="B757">
        <v>835</v>
      </c>
      <c r="C757">
        <v>741</v>
      </c>
      <c r="D757">
        <v>595</v>
      </c>
      <c r="E757">
        <f t="shared" si="96"/>
        <v>506</v>
      </c>
      <c r="F757">
        <v>416</v>
      </c>
      <c r="G757">
        <f t="shared" si="97"/>
        <v>285</v>
      </c>
      <c r="H757">
        <v>154</v>
      </c>
      <c r="I757">
        <v>835</v>
      </c>
      <c r="J757">
        <v>741</v>
      </c>
      <c r="K757">
        <v>595</v>
      </c>
      <c r="L757">
        <f t="shared" si="98"/>
        <v>506</v>
      </c>
      <c r="M757">
        <v>416</v>
      </c>
      <c r="N757">
        <f t="shared" si="99"/>
        <v>285</v>
      </c>
      <c r="O757">
        <v>154</v>
      </c>
      <c r="P757">
        <v>626</v>
      </c>
      <c r="Q757">
        <v>567</v>
      </c>
      <c r="R757">
        <v>466</v>
      </c>
      <c r="S757">
        <f t="shared" si="100"/>
        <v>402</v>
      </c>
      <c r="T757">
        <v>338</v>
      </c>
      <c r="U757">
        <f t="shared" si="101"/>
        <v>236</v>
      </c>
      <c r="V757">
        <v>134</v>
      </c>
      <c r="W757">
        <v>626</v>
      </c>
      <c r="X757">
        <v>567</v>
      </c>
      <c r="Y757">
        <v>466</v>
      </c>
      <c r="Z757">
        <f t="shared" si="102"/>
        <v>402</v>
      </c>
      <c r="AA757">
        <v>338</v>
      </c>
      <c r="AB757">
        <f t="shared" si="103"/>
        <v>236</v>
      </c>
      <c r="AC757">
        <v>134</v>
      </c>
    </row>
    <row r="758" spans="1:29" x14ac:dyDescent="0.25">
      <c r="A758" t="s">
        <v>765</v>
      </c>
      <c r="B758">
        <v>783</v>
      </c>
      <c r="C758">
        <v>696</v>
      </c>
      <c r="D758">
        <v>564</v>
      </c>
      <c r="E758">
        <f t="shared" si="96"/>
        <v>480</v>
      </c>
      <c r="F758">
        <v>395</v>
      </c>
      <c r="G758">
        <f t="shared" si="97"/>
        <v>271</v>
      </c>
      <c r="H758">
        <v>146</v>
      </c>
      <c r="I758">
        <v>783</v>
      </c>
      <c r="J758">
        <v>696</v>
      </c>
      <c r="K758">
        <v>564</v>
      </c>
      <c r="L758">
        <f t="shared" si="98"/>
        <v>480</v>
      </c>
      <c r="M758">
        <v>395</v>
      </c>
      <c r="N758">
        <f t="shared" si="99"/>
        <v>271</v>
      </c>
      <c r="O758">
        <v>146</v>
      </c>
      <c r="P758">
        <v>587</v>
      </c>
      <c r="Q758">
        <v>533</v>
      </c>
      <c r="R758">
        <v>441</v>
      </c>
      <c r="S758">
        <f t="shared" si="100"/>
        <v>381</v>
      </c>
      <c r="T758">
        <v>321</v>
      </c>
      <c r="U758">
        <f t="shared" si="101"/>
        <v>224</v>
      </c>
      <c r="V758">
        <v>127</v>
      </c>
      <c r="W758">
        <v>587</v>
      </c>
      <c r="X758">
        <v>533</v>
      </c>
      <c r="Y758">
        <v>441</v>
      </c>
      <c r="Z758">
        <f t="shared" si="102"/>
        <v>381</v>
      </c>
      <c r="AA758">
        <v>321</v>
      </c>
      <c r="AB758">
        <f t="shared" si="103"/>
        <v>224</v>
      </c>
      <c r="AC758">
        <v>127</v>
      </c>
    </row>
    <row r="759" spans="1:29" x14ac:dyDescent="0.25">
      <c r="A759" t="s">
        <v>766</v>
      </c>
      <c r="B759">
        <v>1348</v>
      </c>
      <c r="C759">
        <v>1187</v>
      </c>
      <c r="D759">
        <v>970</v>
      </c>
      <c r="E759">
        <f t="shared" si="96"/>
        <v>828</v>
      </c>
      <c r="F759">
        <v>686</v>
      </c>
      <c r="G759">
        <f t="shared" si="97"/>
        <v>474</v>
      </c>
      <c r="H759">
        <v>261</v>
      </c>
      <c r="I759">
        <v>1000</v>
      </c>
      <c r="J759">
        <v>867</v>
      </c>
      <c r="K759">
        <v>697</v>
      </c>
      <c r="L759">
        <f t="shared" si="98"/>
        <v>592</v>
      </c>
      <c r="M759">
        <v>487</v>
      </c>
      <c r="N759">
        <f t="shared" si="99"/>
        <v>335</v>
      </c>
      <c r="O759">
        <v>183</v>
      </c>
      <c r="P759">
        <v>1011</v>
      </c>
      <c r="Q759">
        <v>908</v>
      </c>
      <c r="R759">
        <v>759</v>
      </c>
      <c r="S759">
        <f t="shared" si="100"/>
        <v>658</v>
      </c>
      <c r="T759">
        <v>557</v>
      </c>
      <c r="U759">
        <f t="shared" si="101"/>
        <v>392</v>
      </c>
      <c r="V759">
        <v>227</v>
      </c>
      <c r="W759">
        <v>750</v>
      </c>
      <c r="X759">
        <v>663</v>
      </c>
      <c r="Y759">
        <v>546</v>
      </c>
      <c r="Z759">
        <f t="shared" si="102"/>
        <v>471</v>
      </c>
      <c r="AA759">
        <v>395</v>
      </c>
      <c r="AB759">
        <f t="shared" si="103"/>
        <v>277</v>
      </c>
      <c r="AC759">
        <v>159</v>
      </c>
    </row>
    <row r="760" spans="1:29" x14ac:dyDescent="0.25">
      <c r="A760" t="s">
        <v>767</v>
      </c>
      <c r="B760">
        <v>1202</v>
      </c>
      <c r="C760">
        <v>1063</v>
      </c>
      <c r="D760">
        <v>874</v>
      </c>
      <c r="E760">
        <f t="shared" si="96"/>
        <v>748</v>
      </c>
      <c r="F760">
        <v>622</v>
      </c>
      <c r="G760">
        <f t="shared" si="97"/>
        <v>429</v>
      </c>
      <c r="H760">
        <v>236</v>
      </c>
      <c r="I760">
        <v>952</v>
      </c>
      <c r="J760">
        <v>827</v>
      </c>
      <c r="K760">
        <v>667</v>
      </c>
      <c r="L760">
        <f t="shared" si="98"/>
        <v>566</v>
      </c>
      <c r="M760">
        <v>465</v>
      </c>
      <c r="N760">
        <f t="shared" si="99"/>
        <v>319</v>
      </c>
      <c r="O760">
        <v>173</v>
      </c>
      <c r="P760">
        <v>901</v>
      </c>
      <c r="Q760">
        <v>814</v>
      </c>
      <c r="R760">
        <v>684</v>
      </c>
      <c r="S760">
        <f t="shared" si="100"/>
        <v>595</v>
      </c>
      <c r="T760">
        <v>505</v>
      </c>
      <c r="U760">
        <f t="shared" si="101"/>
        <v>356</v>
      </c>
      <c r="V760">
        <v>206</v>
      </c>
      <c r="W760">
        <v>713</v>
      </c>
      <c r="X760">
        <v>633</v>
      </c>
      <c r="Y760">
        <v>522</v>
      </c>
      <c r="Z760">
        <f t="shared" si="102"/>
        <v>450</v>
      </c>
      <c r="AA760">
        <v>378</v>
      </c>
      <c r="AB760">
        <f t="shared" si="103"/>
        <v>265</v>
      </c>
      <c r="AC760">
        <v>151</v>
      </c>
    </row>
    <row r="761" spans="1:29" x14ac:dyDescent="0.25">
      <c r="A761" t="s">
        <v>768</v>
      </c>
      <c r="B761">
        <v>1059</v>
      </c>
      <c r="C761">
        <v>935</v>
      </c>
      <c r="D761">
        <v>774</v>
      </c>
      <c r="E761">
        <f t="shared" si="96"/>
        <v>664</v>
      </c>
      <c r="F761">
        <v>553</v>
      </c>
      <c r="G761">
        <f t="shared" si="97"/>
        <v>382</v>
      </c>
      <c r="H761">
        <v>211</v>
      </c>
      <c r="I761">
        <v>911</v>
      </c>
      <c r="J761">
        <v>788</v>
      </c>
      <c r="K761">
        <v>636</v>
      </c>
      <c r="L761">
        <f t="shared" si="98"/>
        <v>540</v>
      </c>
      <c r="M761">
        <v>444</v>
      </c>
      <c r="N761">
        <f t="shared" si="99"/>
        <v>305</v>
      </c>
      <c r="O761">
        <v>165</v>
      </c>
      <c r="P761">
        <v>794</v>
      </c>
      <c r="Q761">
        <v>715</v>
      </c>
      <c r="R761">
        <v>606</v>
      </c>
      <c r="S761">
        <f t="shared" si="100"/>
        <v>528</v>
      </c>
      <c r="T761">
        <v>449</v>
      </c>
      <c r="U761">
        <f t="shared" si="101"/>
        <v>316</v>
      </c>
      <c r="V761">
        <v>183</v>
      </c>
      <c r="W761">
        <v>683</v>
      </c>
      <c r="X761">
        <v>603</v>
      </c>
      <c r="Y761">
        <v>498</v>
      </c>
      <c r="Z761">
        <f t="shared" si="102"/>
        <v>429</v>
      </c>
      <c r="AA761">
        <v>360</v>
      </c>
      <c r="AB761">
        <f t="shared" si="103"/>
        <v>252</v>
      </c>
      <c r="AC761">
        <v>143</v>
      </c>
    </row>
    <row r="762" spans="1:29" x14ac:dyDescent="0.25">
      <c r="A762" t="s">
        <v>769</v>
      </c>
      <c r="B762">
        <v>889</v>
      </c>
      <c r="C762">
        <v>791</v>
      </c>
      <c r="D762">
        <v>658</v>
      </c>
      <c r="E762">
        <f t="shared" si="96"/>
        <v>566</v>
      </c>
      <c r="F762">
        <v>473</v>
      </c>
      <c r="G762">
        <f t="shared" si="97"/>
        <v>327</v>
      </c>
      <c r="H762">
        <v>180</v>
      </c>
      <c r="I762">
        <v>857</v>
      </c>
      <c r="J762">
        <v>743</v>
      </c>
      <c r="K762">
        <v>601</v>
      </c>
      <c r="L762">
        <f t="shared" si="98"/>
        <v>511</v>
      </c>
      <c r="M762">
        <v>420</v>
      </c>
      <c r="N762">
        <f t="shared" si="99"/>
        <v>288</v>
      </c>
      <c r="O762">
        <v>156</v>
      </c>
      <c r="P762">
        <v>666</v>
      </c>
      <c r="Q762">
        <v>605</v>
      </c>
      <c r="R762">
        <v>515</v>
      </c>
      <c r="S762">
        <f t="shared" si="100"/>
        <v>450</v>
      </c>
      <c r="T762">
        <v>384</v>
      </c>
      <c r="U762">
        <f t="shared" si="101"/>
        <v>271</v>
      </c>
      <c r="V762">
        <v>157</v>
      </c>
      <c r="W762">
        <v>642</v>
      </c>
      <c r="X762">
        <v>568</v>
      </c>
      <c r="Y762">
        <v>470</v>
      </c>
      <c r="Z762">
        <f t="shared" si="102"/>
        <v>406</v>
      </c>
      <c r="AA762">
        <v>341</v>
      </c>
      <c r="AB762">
        <f t="shared" si="103"/>
        <v>239</v>
      </c>
      <c r="AC762">
        <v>136</v>
      </c>
    </row>
    <row r="763" spans="1:29" x14ac:dyDescent="0.25">
      <c r="A763" t="s">
        <v>770</v>
      </c>
      <c r="B763">
        <v>828</v>
      </c>
      <c r="C763">
        <v>732</v>
      </c>
      <c r="D763">
        <v>589</v>
      </c>
      <c r="E763">
        <f t="shared" si="96"/>
        <v>501</v>
      </c>
      <c r="F763">
        <v>413</v>
      </c>
      <c r="G763">
        <f t="shared" si="97"/>
        <v>283</v>
      </c>
      <c r="H763">
        <v>152</v>
      </c>
      <c r="I763">
        <v>828</v>
      </c>
      <c r="J763">
        <v>732</v>
      </c>
      <c r="K763">
        <v>589</v>
      </c>
      <c r="L763">
        <f t="shared" si="98"/>
        <v>501</v>
      </c>
      <c r="M763">
        <v>413</v>
      </c>
      <c r="N763">
        <f t="shared" si="99"/>
        <v>283</v>
      </c>
      <c r="O763">
        <v>152</v>
      </c>
      <c r="P763">
        <v>621</v>
      </c>
      <c r="Q763">
        <v>560</v>
      </c>
      <c r="R763">
        <v>461</v>
      </c>
      <c r="S763">
        <f t="shared" si="100"/>
        <v>398</v>
      </c>
      <c r="T763">
        <v>335</v>
      </c>
      <c r="U763">
        <f t="shared" si="101"/>
        <v>234</v>
      </c>
      <c r="V763">
        <v>133</v>
      </c>
      <c r="W763">
        <v>621</v>
      </c>
      <c r="X763">
        <v>560</v>
      </c>
      <c r="Y763">
        <v>461</v>
      </c>
      <c r="Z763">
        <f t="shared" si="102"/>
        <v>398</v>
      </c>
      <c r="AA763">
        <v>335</v>
      </c>
      <c r="AB763">
        <f t="shared" si="103"/>
        <v>234</v>
      </c>
      <c r="AC763">
        <v>133</v>
      </c>
    </row>
    <row r="764" spans="1:29" x14ac:dyDescent="0.25">
      <c r="A764" t="s">
        <v>771</v>
      </c>
      <c r="B764">
        <v>776</v>
      </c>
      <c r="C764">
        <v>690</v>
      </c>
      <c r="D764">
        <v>557</v>
      </c>
      <c r="E764">
        <f t="shared" si="96"/>
        <v>474</v>
      </c>
      <c r="F764">
        <v>391</v>
      </c>
      <c r="G764">
        <f t="shared" si="97"/>
        <v>269</v>
      </c>
      <c r="H764">
        <v>146</v>
      </c>
      <c r="I764">
        <v>776</v>
      </c>
      <c r="J764">
        <v>690</v>
      </c>
      <c r="K764">
        <v>557</v>
      </c>
      <c r="L764">
        <f t="shared" si="98"/>
        <v>474</v>
      </c>
      <c r="M764">
        <v>391</v>
      </c>
      <c r="N764">
        <f t="shared" si="99"/>
        <v>269</v>
      </c>
      <c r="O764">
        <v>146</v>
      </c>
      <c r="P764">
        <v>581</v>
      </c>
      <c r="Q764">
        <v>528</v>
      </c>
      <c r="R764">
        <v>436</v>
      </c>
      <c r="S764">
        <f t="shared" si="100"/>
        <v>377</v>
      </c>
      <c r="T764">
        <v>318</v>
      </c>
      <c r="U764">
        <f t="shared" si="101"/>
        <v>223</v>
      </c>
      <c r="V764">
        <v>128</v>
      </c>
      <c r="W764">
        <v>581</v>
      </c>
      <c r="X764">
        <v>528</v>
      </c>
      <c r="Y764">
        <v>436</v>
      </c>
      <c r="Z764">
        <f t="shared" si="102"/>
        <v>377</v>
      </c>
      <c r="AA764">
        <v>318</v>
      </c>
      <c r="AB764">
        <f t="shared" si="103"/>
        <v>223</v>
      </c>
      <c r="AC764">
        <v>128</v>
      </c>
    </row>
    <row r="765" spans="1:29" x14ac:dyDescent="0.25">
      <c r="A765" t="s">
        <v>772</v>
      </c>
      <c r="B765">
        <v>721</v>
      </c>
      <c r="C765">
        <v>644</v>
      </c>
      <c r="D765">
        <v>528</v>
      </c>
      <c r="E765">
        <f t="shared" si="96"/>
        <v>450</v>
      </c>
      <c r="F765">
        <v>372</v>
      </c>
      <c r="G765">
        <f t="shared" si="97"/>
        <v>254</v>
      </c>
      <c r="H765">
        <v>135</v>
      </c>
      <c r="I765">
        <v>721</v>
      </c>
      <c r="J765">
        <v>644</v>
      </c>
      <c r="K765">
        <v>528</v>
      </c>
      <c r="L765">
        <f t="shared" si="98"/>
        <v>450</v>
      </c>
      <c r="M765">
        <v>372</v>
      </c>
      <c r="N765">
        <f t="shared" si="99"/>
        <v>254</v>
      </c>
      <c r="O765">
        <v>135</v>
      </c>
      <c r="P765">
        <v>540</v>
      </c>
      <c r="Q765">
        <v>492</v>
      </c>
      <c r="R765">
        <v>413</v>
      </c>
      <c r="S765">
        <f t="shared" si="100"/>
        <v>358</v>
      </c>
      <c r="T765">
        <v>302</v>
      </c>
      <c r="U765">
        <f t="shared" si="101"/>
        <v>210</v>
      </c>
      <c r="V765">
        <v>117</v>
      </c>
      <c r="W765">
        <v>540</v>
      </c>
      <c r="X765">
        <v>492</v>
      </c>
      <c r="Y765">
        <v>413</v>
      </c>
      <c r="Z765">
        <f t="shared" si="102"/>
        <v>358</v>
      </c>
      <c r="AA765">
        <v>302</v>
      </c>
      <c r="AB765">
        <f t="shared" si="103"/>
        <v>210</v>
      </c>
      <c r="AC765">
        <v>117</v>
      </c>
    </row>
    <row r="766" spans="1:29" x14ac:dyDescent="0.25">
      <c r="A766" t="s">
        <v>773</v>
      </c>
      <c r="B766">
        <v>1192</v>
      </c>
      <c r="C766">
        <v>1053</v>
      </c>
      <c r="D766">
        <v>864</v>
      </c>
      <c r="E766">
        <f t="shared" si="96"/>
        <v>738</v>
      </c>
      <c r="F766">
        <v>612</v>
      </c>
      <c r="G766">
        <f t="shared" si="97"/>
        <v>422</v>
      </c>
      <c r="H766">
        <v>232</v>
      </c>
      <c r="I766">
        <v>948</v>
      </c>
      <c r="J766">
        <v>824</v>
      </c>
      <c r="K766">
        <v>664</v>
      </c>
      <c r="L766">
        <f t="shared" si="98"/>
        <v>563</v>
      </c>
      <c r="M766">
        <v>462</v>
      </c>
      <c r="N766">
        <f t="shared" si="99"/>
        <v>317</v>
      </c>
      <c r="O766">
        <v>171</v>
      </c>
      <c r="P766">
        <v>894</v>
      </c>
      <c r="Q766">
        <v>806</v>
      </c>
      <c r="R766">
        <v>677</v>
      </c>
      <c r="S766">
        <f t="shared" si="100"/>
        <v>587</v>
      </c>
      <c r="T766">
        <v>497</v>
      </c>
      <c r="U766">
        <f t="shared" si="101"/>
        <v>350</v>
      </c>
      <c r="V766">
        <v>202</v>
      </c>
      <c r="W766">
        <v>711</v>
      </c>
      <c r="X766">
        <v>631</v>
      </c>
      <c r="Y766">
        <v>521</v>
      </c>
      <c r="Z766">
        <f t="shared" si="102"/>
        <v>448</v>
      </c>
      <c r="AA766">
        <v>375</v>
      </c>
      <c r="AB766">
        <f t="shared" si="103"/>
        <v>262</v>
      </c>
      <c r="AC766">
        <v>149</v>
      </c>
    </row>
    <row r="767" spans="1:29" x14ac:dyDescent="0.25">
      <c r="A767" t="s">
        <v>774</v>
      </c>
      <c r="B767">
        <v>1047</v>
      </c>
      <c r="C767">
        <v>923</v>
      </c>
      <c r="D767">
        <v>763</v>
      </c>
      <c r="E767">
        <f t="shared" si="96"/>
        <v>654</v>
      </c>
      <c r="F767">
        <v>544</v>
      </c>
      <c r="G767">
        <f t="shared" si="97"/>
        <v>375</v>
      </c>
      <c r="H767">
        <v>206</v>
      </c>
      <c r="I767">
        <v>907</v>
      </c>
      <c r="J767">
        <v>783</v>
      </c>
      <c r="K767">
        <v>633</v>
      </c>
      <c r="L767">
        <f t="shared" si="98"/>
        <v>537</v>
      </c>
      <c r="M767">
        <v>441</v>
      </c>
      <c r="N767">
        <f t="shared" si="99"/>
        <v>302</v>
      </c>
      <c r="O767">
        <v>163</v>
      </c>
      <c r="P767">
        <v>785</v>
      </c>
      <c r="Q767">
        <v>706</v>
      </c>
      <c r="R767">
        <v>597</v>
      </c>
      <c r="S767">
        <f t="shared" si="100"/>
        <v>520</v>
      </c>
      <c r="T767">
        <v>442</v>
      </c>
      <c r="U767">
        <f t="shared" si="101"/>
        <v>311</v>
      </c>
      <c r="V767">
        <v>180</v>
      </c>
      <c r="W767">
        <v>680</v>
      </c>
      <c r="X767">
        <v>599</v>
      </c>
      <c r="Y767">
        <v>495</v>
      </c>
      <c r="Z767">
        <f t="shared" si="102"/>
        <v>427</v>
      </c>
      <c r="AA767">
        <v>358</v>
      </c>
      <c r="AB767">
        <f t="shared" si="103"/>
        <v>250</v>
      </c>
      <c r="AC767">
        <v>142</v>
      </c>
    </row>
    <row r="768" spans="1:29" x14ac:dyDescent="0.25">
      <c r="A768" t="s">
        <v>775</v>
      </c>
      <c r="B768">
        <v>882</v>
      </c>
      <c r="C768">
        <v>784</v>
      </c>
      <c r="D768">
        <v>652</v>
      </c>
      <c r="E768">
        <f t="shared" si="96"/>
        <v>560</v>
      </c>
      <c r="F768">
        <v>468</v>
      </c>
      <c r="G768">
        <f t="shared" si="97"/>
        <v>323</v>
      </c>
      <c r="H768">
        <v>177</v>
      </c>
      <c r="I768">
        <v>855</v>
      </c>
      <c r="J768">
        <v>741</v>
      </c>
      <c r="K768">
        <v>600</v>
      </c>
      <c r="L768">
        <f t="shared" si="98"/>
        <v>510</v>
      </c>
      <c r="M768">
        <v>419</v>
      </c>
      <c r="N768">
        <f t="shared" si="99"/>
        <v>287</v>
      </c>
      <c r="O768">
        <v>154</v>
      </c>
      <c r="P768">
        <v>661</v>
      </c>
      <c r="Q768">
        <v>600</v>
      </c>
      <c r="R768">
        <v>511</v>
      </c>
      <c r="S768">
        <f t="shared" si="100"/>
        <v>446</v>
      </c>
      <c r="T768">
        <v>380</v>
      </c>
      <c r="U768">
        <f t="shared" si="101"/>
        <v>267</v>
      </c>
      <c r="V768">
        <v>154</v>
      </c>
      <c r="W768">
        <v>641</v>
      </c>
      <c r="X768">
        <v>567</v>
      </c>
      <c r="Y768">
        <v>470</v>
      </c>
      <c r="Z768">
        <f t="shared" si="102"/>
        <v>405</v>
      </c>
      <c r="AA768">
        <v>340</v>
      </c>
      <c r="AB768">
        <f t="shared" si="103"/>
        <v>237</v>
      </c>
      <c r="AC768">
        <v>134</v>
      </c>
    </row>
    <row r="769" spans="1:29" x14ac:dyDescent="0.25">
      <c r="A769" t="s">
        <v>776</v>
      </c>
      <c r="B769">
        <v>821</v>
      </c>
      <c r="C769">
        <v>726</v>
      </c>
      <c r="D769">
        <v>583</v>
      </c>
      <c r="E769">
        <f t="shared" si="96"/>
        <v>495</v>
      </c>
      <c r="F769">
        <v>407</v>
      </c>
      <c r="G769">
        <f t="shared" si="97"/>
        <v>279</v>
      </c>
      <c r="H769">
        <v>151</v>
      </c>
      <c r="I769">
        <v>821</v>
      </c>
      <c r="J769">
        <v>726</v>
      </c>
      <c r="K769">
        <v>583</v>
      </c>
      <c r="L769">
        <f t="shared" si="98"/>
        <v>495</v>
      </c>
      <c r="M769">
        <v>407</v>
      </c>
      <c r="N769">
        <f t="shared" si="99"/>
        <v>279</v>
      </c>
      <c r="O769">
        <v>151</v>
      </c>
      <c r="P769">
        <v>615</v>
      </c>
      <c r="Q769">
        <v>555</v>
      </c>
      <c r="R769">
        <v>456</v>
      </c>
      <c r="S769">
        <f t="shared" si="100"/>
        <v>394</v>
      </c>
      <c r="T769">
        <v>331</v>
      </c>
      <c r="U769">
        <f t="shared" si="101"/>
        <v>231</v>
      </c>
      <c r="V769">
        <v>131</v>
      </c>
      <c r="W769">
        <v>615</v>
      </c>
      <c r="X769">
        <v>555</v>
      </c>
      <c r="Y769">
        <v>456</v>
      </c>
      <c r="Z769">
        <f t="shared" si="102"/>
        <v>394</v>
      </c>
      <c r="AA769">
        <v>331</v>
      </c>
      <c r="AB769">
        <f t="shared" si="103"/>
        <v>231</v>
      </c>
      <c r="AC769">
        <v>131</v>
      </c>
    </row>
    <row r="770" spans="1:29" x14ac:dyDescent="0.25">
      <c r="A770" t="s">
        <v>777</v>
      </c>
      <c r="B770">
        <v>768</v>
      </c>
      <c r="C770">
        <v>682</v>
      </c>
      <c r="D770">
        <v>551</v>
      </c>
      <c r="E770">
        <f t="shared" si="96"/>
        <v>469</v>
      </c>
      <c r="F770">
        <v>387</v>
      </c>
      <c r="G770">
        <f t="shared" si="97"/>
        <v>265</v>
      </c>
      <c r="H770">
        <v>142</v>
      </c>
      <c r="I770">
        <v>768</v>
      </c>
      <c r="J770">
        <v>682</v>
      </c>
      <c r="K770">
        <v>551</v>
      </c>
      <c r="L770">
        <f t="shared" si="98"/>
        <v>469</v>
      </c>
      <c r="M770">
        <v>387</v>
      </c>
      <c r="N770">
        <f t="shared" si="99"/>
        <v>265</v>
      </c>
      <c r="O770">
        <v>142</v>
      </c>
      <c r="P770">
        <v>576</v>
      </c>
      <c r="Q770">
        <v>522</v>
      </c>
      <c r="R770">
        <v>432</v>
      </c>
      <c r="S770">
        <f t="shared" si="100"/>
        <v>374</v>
      </c>
      <c r="T770">
        <v>315</v>
      </c>
      <c r="U770">
        <f t="shared" si="101"/>
        <v>220</v>
      </c>
      <c r="V770">
        <v>124</v>
      </c>
      <c r="W770">
        <v>576</v>
      </c>
      <c r="X770">
        <v>522</v>
      </c>
      <c r="Y770">
        <v>432</v>
      </c>
      <c r="Z770">
        <f t="shared" si="102"/>
        <v>374</v>
      </c>
      <c r="AA770">
        <v>315</v>
      </c>
      <c r="AB770">
        <f t="shared" si="103"/>
        <v>220</v>
      </c>
      <c r="AC770">
        <v>124</v>
      </c>
    </row>
    <row r="771" spans="1:29" x14ac:dyDescent="0.25">
      <c r="A771" t="s">
        <v>778</v>
      </c>
      <c r="B771">
        <v>715</v>
      </c>
      <c r="C771">
        <v>638</v>
      </c>
      <c r="D771">
        <v>525</v>
      </c>
      <c r="E771">
        <f t="shared" si="96"/>
        <v>446</v>
      </c>
      <c r="F771">
        <v>366</v>
      </c>
      <c r="G771">
        <f t="shared" si="97"/>
        <v>251</v>
      </c>
      <c r="H771">
        <v>135</v>
      </c>
      <c r="I771">
        <v>715</v>
      </c>
      <c r="J771">
        <v>638</v>
      </c>
      <c r="K771">
        <v>525</v>
      </c>
      <c r="L771">
        <f t="shared" si="98"/>
        <v>446</v>
      </c>
      <c r="M771">
        <v>366</v>
      </c>
      <c r="N771">
        <f t="shared" si="99"/>
        <v>251</v>
      </c>
      <c r="O771">
        <v>135</v>
      </c>
      <c r="P771">
        <v>536</v>
      </c>
      <c r="Q771">
        <v>488</v>
      </c>
      <c r="R771">
        <v>411</v>
      </c>
      <c r="S771">
        <f t="shared" si="100"/>
        <v>354</v>
      </c>
      <c r="T771">
        <v>297</v>
      </c>
      <c r="U771">
        <f t="shared" si="101"/>
        <v>207</v>
      </c>
      <c r="V771">
        <v>117</v>
      </c>
      <c r="W771">
        <v>536</v>
      </c>
      <c r="X771">
        <v>488</v>
      </c>
      <c r="Y771">
        <v>411</v>
      </c>
      <c r="Z771">
        <f t="shared" si="102"/>
        <v>354</v>
      </c>
      <c r="AA771">
        <v>297</v>
      </c>
      <c r="AB771">
        <f t="shared" si="103"/>
        <v>207</v>
      </c>
      <c r="AC771">
        <v>117</v>
      </c>
    </row>
    <row r="772" spans="1:29" x14ac:dyDescent="0.25">
      <c r="A772" t="s">
        <v>779</v>
      </c>
      <c r="B772">
        <v>657</v>
      </c>
      <c r="C772">
        <v>588</v>
      </c>
      <c r="D772">
        <v>485</v>
      </c>
      <c r="E772">
        <f t="shared" si="96"/>
        <v>414</v>
      </c>
      <c r="F772">
        <v>343</v>
      </c>
      <c r="G772">
        <f t="shared" si="97"/>
        <v>234</v>
      </c>
      <c r="H772">
        <v>124</v>
      </c>
      <c r="I772">
        <v>657</v>
      </c>
      <c r="J772">
        <v>588</v>
      </c>
      <c r="K772">
        <v>485</v>
      </c>
      <c r="L772">
        <f t="shared" si="98"/>
        <v>414</v>
      </c>
      <c r="M772">
        <v>343</v>
      </c>
      <c r="N772">
        <f t="shared" si="99"/>
        <v>234</v>
      </c>
      <c r="O772">
        <v>124</v>
      </c>
      <c r="P772">
        <v>492</v>
      </c>
      <c r="Q772">
        <v>450</v>
      </c>
      <c r="R772">
        <v>379</v>
      </c>
      <c r="S772">
        <f t="shared" si="100"/>
        <v>329</v>
      </c>
      <c r="T772">
        <v>279</v>
      </c>
      <c r="U772">
        <f t="shared" si="101"/>
        <v>194</v>
      </c>
      <c r="V772">
        <v>108</v>
      </c>
      <c r="W772">
        <v>492</v>
      </c>
      <c r="X772">
        <v>450</v>
      </c>
      <c r="Y772">
        <v>379</v>
      </c>
      <c r="Z772">
        <f t="shared" si="102"/>
        <v>329</v>
      </c>
      <c r="AA772">
        <v>279</v>
      </c>
      <c r="AB772">
        <f t="shared" si="103"/>
        <v>194</v>
      </c>
      <c r="AC772">
        <v>108</v>
      </c>
    </row>
    <row r="773" spans="1:29" x14ac:dyDescent="0.25">
      <c r="A773" t="s">
        <v>780</v>
      </c>
      <c r="B773">
        <v>1035</v>
      </c>
      <c r="C773">
        <v>912</v>
      </c>
      <c r="D773">
        <v>751</v>
      </c>
      <c r="E773">
        <f t="shared" ref="E773:E836" si="104">ROUND((D773+F773)/2,0)</f>
        <v>643</v>
      </c>
      <c r="F773">
        <v>534</v>
      </c>
      <c r="G773">
        <f t="shared" ref="G773:G836" si="105">ROUND((F773+H773)/2,0)</f>
        <v>368</v>
      </c>
      <c r="H773">
        <v>202</v>
      </c>
      <c r="I773">
        <v>903</v>
      </c>
      <c r="J773">
        <v>780</v>
      </c>
      <c r="K773">
        <v>629</v>
      </c>
      <c r="L773">
        <f t="shared" ref="L773:L836" si="106">ROUND((K773+M773)/2,0)</f>
        <v>533</v>
      </c>
      <c r="M773">
        <v>437</v>
      </c>
      <c r="N773">
        <f t="shared" ref="N773:N836" si="107">ROUND((M773+O773)/2,0)</f>
        <v>299</v>
      </c>
      <c r="O773">
        <v>161</v>
      </c>
      <c r="P773">
        <v>776</v>
      </c>
      <c r="Q773">
        <v>698</v>
      </c>
      <c r="R773">
        <v>588</v>
      </c>
      <c r="S773">
        <f t="shared" ref="S773:S836" si="108">ROUND((R773+T773)/2,0)</f>
        <v>511</v>
      </c>
      <c r="T773">
        <v>434</v>
      </c>
      <c r="U773">
        <f t="shared" ref="U773:U836" si="109">ROUND((T773+V773)/2,0)</f>
        <v>305</v>
      </c>
      <c r="V773">
        <v>176</v>
      </c>
      <c r="W773">
        <v>677</v>
      </c>
      <c r="X773">
        <v>597</v>
      </c>
      <c r="Y773">
        <v>493</v>
      </c>
      <c r="Z773">
        <f t="shared" ref="Z773:Z836" si="110">ROUND((Y773+AA773)/2,0)</f>
        <v>425</v>
      </c>
      <c r="AA773">
        <v>356</v>
      </c>
      <c r="AB773">
        <f t="shared" ref="AB773:AB836" si="111">ROUND((AA773+AC773)/2,0)</f>
        <v>249</v>
      </c>
      <c r="AC773">
        <v>141</v>
      </c>
    </row>
    <row r="774" spans="1:29" x14ac:dyDescent="0.25">
      <c r="A774" t="s">
        <v>781</v>
      </c>
      <c r="B774">
        <v>874</v>
      </c>
      <c r="C774">
        <v>775</v>
      </c>
      <c r="D774">
        <v>644</v>
      </c>
      <c r="E774">
        <f t="shared" si="104"/>
        <v>553</v>
      </c>
      <c r="F774">
        <v>461</v>
      </c>
      <c r="G774">
        <f t="shared" si="105"/>
        <v>318</v>
      </c>
      <c r="H774">
        <v>175</v>
      </c>
      <c r="I774">
        <v>854</v>
      </c>
      <c r="J774">
        <v>739</v>
      </c>
      <c r="K774">
        <v>598</v>
      </c>
      <c r="L774">
        <f t="shared" si="106"/>
        <v>507</v>
      </c>
      <c r="M774">
        <v>416</v>
      </c>
      <c r="N774">
        <f t="shared" si="107"/>
        <v>285</v>
      </c>
      <c r="O774">
        <v>153</v>
      </c>
      <c r="P774">
        <v>655</v>
      </c>
      <c r="Q774">
        <v>593</v>
      </c>
      <c r="R774">
        <v>504</v>
      </c>
      <c r="S774">
        <f t="shared" si="108"/>
        <v>440</v>
      </c>
      <c r="T774">
        <v>375</v>
      </c>
      <c r="U774">
        <f t="shared" si="109"/>
        <v>264</v>
      </c>
      <c r="V774">
        <v>152</v>
      </c>
      <c r="W774">
        <v>640</v>
      </c>
      <c r="X774">
        <v>565</v>
      </c>
      <c r="Y774">
        <v>468</v>
      </c>
      <c r="Z774">
        <f t="shared" si="110"/>
        <v>403</v>
      </c>
      <c r="AA774">
        <v>338</v>
      </c>
      <c r="AB774">
        <f t="shared" si="111"/>
        <v>236</v>
      </c>
      <c r="AC774">
        <v>133</v>
      </c>
    </row>
    <row r="775" spans="1:29" x14ac:dyDescent="0.25">
      <c r="A775" t="s">
        <v>782</v>
      </c>
      <c r="B775">
        <v>812</v>
      </c>
      <c r="C775">
        <v>718</v>
      </c>
      <c r="D775">
        <v>577</v>
      </c>
      <c r="E775">
        <f t="shared" si="104"/>
        <v>490</v>
      </c>
      <c r="F775">
        <v>402</v>
      </c>
      <c r="G775">
        <f t="shared" si="105"/>
        <v>275</v>
      </c>
      <c r="H775">
        <v>148</v>
      </c>
      <c r="I775">
        <v>812</v>
      </c>
      <c r="J775">
        <v>718</v>
      </c>
      <c r="K775">
        <v>577</v>
      </c>
      <c r="L775">
        <f t="shared" si="106"/>
        <v>490</v>
      </c>
      <c r="M775">
        <v>402</v>
      </c>
      <c r="N775">
        <f t="shared" si="107"/>
        <v>275</v>
      </c>
      <c r="O775">
        <v>148</v>
      </c>
      <c r="P775">
        <v>609</v>
      </c>
      <c r="Q775">
        <v>549</v>
      </c>
      <c r="R775">
        <v>452</v>
      </c>
      <c r="S775">
        <f t="shared" si="108"/>
        <v>390</v>
      </c>
      <c r="T775">
        <v>327</v>
      </c>
      <c r="U775">
        <f t="shared" si="109"/>
        <v>228</v>
      </c>
      <c r="V775">
        <v>129</v>
      </c>
      <c r="W775">
        <v>609</v>
      </c>
      <c r="X775">
        <v>549</v>
      </c>
      <c r="Y775">
        <v>452</v>
      </c>
      <c r="Z775">
        <f t="shared" si="110"/>
        <v>390</v>
      </c>
      <c r="AA775">
        <v>327</v>
      </c>
      <c r="AB775">
        <f t="shared" si="111"/>
        <v>228</v>
      </c>
      <c r="AC775">
        <v>129</v>
      </c>
    </row>
    <row r="776" spans="1:29" x14ac:dyDescent="0.25">
      <c r="A776" t="s">
        <v>783</v>
      </c>
      <c r="B776">
        <v>760</v>
      </c>
      <c r="C776">
        <v>675</v>
      </c>
      <c r="D776">
        <v>545</v>
      </c>
      <c r="E776">
        <f t="shared" si="104"/>
        <v>464</v>
      </c>
      <c r="F776">
        <v>382</v>
      </c>
      <c r="G776">
        <f t="shared" si="105"/>
        <v>262</v>
      </c>
      <c r="H776">
        <v>141</v>
      </c>
      <c r="I776">
        <v>760</v>
      </c>
      <c r="J776">
        <v>675</v>
      </c>
      <c r="K776">
        <v>545</v>
      </c>
      <c r="L776">
        <f t="shared" si="106"/>
        <v>464</v>
      </c>
      <c r="M776">
        <v>382</v>
      </c>
      <c r="N776">
        <f t="shared" si="107"/>
        <v>262</v>
      </c>
      <c r="O776">
        <v>141</v>
      </c>
      <c r="P776">
        <v>570</v>
      </c>
      <c r="Q776">
        <v>516</v>
      </c>
      <c r="R776">
        <v>427</v>
      </c>
      <c r="S776">
        <f t="shared" si="108"/>
        <v>369</v>
      </c>
      <c r="T776">
        <v>311</v>
      </c>
      <c r="U776">
        <f t="shared" si="109"/>
        <v>217</v>
      </c>
      <c r="V776">
        <v>122</v>
      </c>
      <c r="W776">
        <v>570</v>
      </c>
      <c r="X776">
        <v>516</v>
      </c>
      <c r="Y776">
        <v>427</v>
      </c>
      <c r="Z776">
        <f t="shared" si="110"/>
        <v>369</v>
      </c>
      <c r="AA776">
        <v>311</v>
      </c>
      <c r="AB776">
        <f t="shared" si="111"/>
        <v>217</v>
      </c>
      <c r="AC776">
        <v>122</v>
      </c>
    </row>
    <row r="777" spans="1:29" x14ac:dyDescent="0.25">
      <c r="A777" t="s">
        <v>784</v>
      </c>
      <c r="B777">
        <v>707</v>
      </c>
      <c r="C777">
        <v>630</v>
      </c>
      <c r="D777">
        <v>517</v>
      </c>
      <c r="E777">
        <f t="shared" si="104"/>
        <v>439</v>
      </c>
      <c r="F777">
        <v>361</v>
      </c>
      <c r="G777">
        <f t="shared" si="105"/>
        <v>248</v>
      </c>
      <c r="H777">
        <v>135</v>
      </c>
      <c r="I777">
        <v>707</v>
      </c>
      <c r="J777">
        <v>630</v>
      </c>
      <c r="K777">
        <v>517</v>
      </c>
      <c r="L777">
        <f t="shared" si="106"/>
        <v>439</v>
      </c>
      <c r="M777">
        <v>361</v>
      </c>
      <c r="N777">
        <f t="shared" si="107"/>
        <v>248</v>
      </c>
      <c r="O777">
        <v>135</v>
      </c>
      <c r="P777">
        <v>530</v>
      </c>
      <c r="Q777">
        <v>482</v>
      </c>
      <c r="R777">
        <v>405</v>
      </c>
      <c r="S777">
        <f t="shared" si="108"/>
        <v>349</v>
      </c>
      <c r="T777">
        <v>293</v>
      </c>
      <c r="U777">
        <f t="shared" si="109"/>
        <v>205</v>
      </c>
      <c r="V777">
        <v>117</v>
      </c>
      <c r="W777">
        <v>530</v>
      </c>
      <c r="X777">
        <v>482</v>
      </c>
      <c r="Y777">
        <v>405</v>
      </c>
      <c r="Z777">
        <f t="shared" si="110"/>
        <v>349</v>
      </c>
      <c r="AA777">
        <v>293</v>
      </c>
      <c r="AB777">
        <f t="shared" si="111"/>
        <v>205</v>
      </c>
      <c r="AC777">
        <v>117</v>
      </c>
    </row>
    <row r="778" spans="1:29" x14ac:dyDescent="0.25">
      <c r="A778" t="s">
        <v>785</v>
      </c>
      <c r="B778">
        <v>652</v>
      </c>
      <c r="C778">
        <v>583</v>
      </c>
      <c r="D778">
        <v>482</v>
      </c>
      <c r="E778">
        <f t="shared" si="104"/>
        <v>412</v>
      </c>
      <c r="F778">
        <v>342</v>
      </c>
      <c r="G778">
        <f t="shared" si="105"/>
        <v>233</v>
      </c>
      <c r="H778">
        <v>124</v>
      </c>
      <c r="I778">
        <v>652</v>
      </c>
      <c r="J778">
        <v>583</v>
      </c>
      <c r="K778">
        <v>482</v>
      </c>
      <c r="L778">
        <f t="shared" si="106"/>
        <v>412</v>
      </c>
      <c r="M778">
        <v>342</v>
      </c>
      <c r="N778">
        <f t="shared" si="107"/>
        <v>233</v>
      </c>
      <c r="O778">
        <v>124</v>
      </c>
      <c r="P778">
        <v>489</v>
      </c>
      <c r="Q778">
        <v>446</v>
      </c>
      <c r="R778">
        <v>377</v>
      </c>
      <c r="S778">
        <f t="shared" si="108"/>
        <v>328</v>
      </c>
      <c r="T778">
        <v>278</v>
      </c>
      <c r="U778">
        <f t="shared" si="109"/>
        <v>193</v>
      </c>
      <c r="V778">
        <v>108</v>
      </c>
      <c r="W778">
        <v>489</v>
      </c>
      <c r="X778">
        <v>446</v>
      </c>
      <c r="Y778">
        <v>377</v>
      </c>
      <c r="Z778">
        <f t="shared" si="110"/>
        <v>328</v>
      </c>
      <c r="AA778">
        <v>278</v>
      </c>
      <c r="AB778">
        <f t="shared" si="111"/>
        <v>193</v>
      </c>
      <c r="AC778">
        <v>108</v>
      </c>
    </row>
    <row r="779" spans="1:29" x14ac:dyDescent="0.25">
      <c r="A779" t="s">
        <v>786</v>
      </c>
      <c r="B779">
        <v>592</v>
      </c>
      <c r="C779">
        <v>532</v>
      </c>
      <c r="D779">
        <v>441</v>
      </c>
      <c r="E779">
        <f t="shared" si="104"/>
        <v>377</v>
      </c>
      <c r="F779">
        <v>313</v>
      </c>
      <c r="G779">
        <f t="shared" si="105"/>
        <v>213</v>
      </c>
      <c r="H779">
        <v>112</v>
      </c>
      <c r="I779">
        <v>592</v>
      </c>
      <c r="J779">
        <v>532</v>
      </c>
      <c r="K779">
        <v>441</v>
      </c>
      <c r="L779">
        <f t="shared" si="106"/>
        <v>377</v>
      </c>
      <c r="M779">
        <v>313</v>
      </c>
      <c r="N779">
        <f t="shared" si="107"/>
        <v>213</v>
      </c>
      <c r="O779">
        <v>112</v>
      </c>
      <c r="P779">
        <v>444</v>
      </c>
      <c r="Q779">
        <v>407</v>
      </c>
      <c r="R779">
        <v>345</v>
      </c>
      <c r="S779">
        <f t="shared" si="108"/>
        <v>300</v>
      </c>
      <c r="T779">
        <v>255</v>
      </c>
      <c r="U779">
        <f t="shared" si="109"/>
        <v>177</v>
      </c>
      <c r="V779">
        <v>98</v>
      </c>
      <c r="W779">
        <v>444</v>
      </c>
      <c r="X779">
        <v>407</v>
      </c>
      <c r="Y779">
        <v>345</v>
      </c>
      <c r="Z779">
        <f t="shared" si="110"/>
        <v>300</v>
      </c>
      <c r="AA779">
        <v>255</v>
      </c>
      <c r="AB779">
        <f t="shared" si="111"/>
        <v>177</v>
      </c>
      <c r="AC779">
        <v>98</v>
      </c>
    </row>
    <row r="780" spans="1:29" x14ac:dyDescent="0.25">
      <c r="A780" t="s">
        <v>787</v>
      </c>
      <c r="B780">
        <v>860</v>
      </c>
      <c r="C780">
        <v>761</v>
      </c>
      <c r="D780">
        <v>630</v>
      </c>
      <c r="E780">
        <f t="shared" si="104"/>
        <v>541</v>
      </c>
      <c r="F780">
        <v>451</v>
      </c>
      <c r="G780">
        <f t="shared" si="105"/>
        <v>311</v>
      </c>
      <c r="H780">
        <v>170</v>
      </c>
      <c r="I780">
        <v>847</v>
      </c>
      <c r="J780">
        <v>734</v>
      </c>
      <c r="K780">
        <v>594</v>
      </c>
      <c r="L780">
        <f t="shared" si="106"/>
        <v>504</v>
      </c>
      <c r="M780">
        <v>413</v>
      </c>
      <c r="N780">
        <f t="shared" si="107"/>
        <v>283</v>
      </c>
      <c r="O780">
        <v>152</v>
      </c>
      <c r="P780">
        <v>644</v>
      </c>
      <c r="Q780">
        <v>582</v>
      </c>
      <c r="R780">
        <v>494</v>
      </c>
      <c r="S780">
        <f t="shared" si="108"/>
        <v>431</v>
      </c>
      <c r="T780">
        <v>367</v>
      </c>
      <c r="U780">
        <f t="shared" si="109"/>
        <v>258</v>
      </c>
      <c r="V780">
        <v>148</v>
      </c>
      <c r="W780">
        <v>634</v>
      </c>
      <c r="X780">
        <v>561</v>
      </c>
      <c r="Y780">
        <v>465</v>
      </c>
      <c r="Z780">
        <f t="shared" si="110"/>
        <v>401</v>
      </c>
      <c r="AA780">
        <v>336</v>
      </c>
      <c r="AB780">
        <f t="shared" si="111"/>
        <v>234</v>
      </c>
      <c r="AC780">
        <v>132</v>
      </c>
    </row>
    <row r="781" spans="1:29" x14ac:dyDescent="0.25">
      <c r="A781" t="s">
        <v>788</v>
      </c>
      <c r="B781">
        <v>803</v>
      </c>
      <c r="C781">
        <v>710</v>
      </c>
      <c r="D781">
        <v>569</v>
      </c>
      <c r="E781">
        <f t="shared" si="104"/>
        <v>483</v>
      </c>
      <c r="F781">
        <v>397</v>
      </c>
      <c r="G781">
        <f t="shared" si="105"/>
        <v>272</v>
      </c>
      <c r="H781">
        <v>146</v>
      </c>
      <c r="I781">
        <v>803</v>
      </c>
      <c r="J781">
        <v>710</v>
      </c>
      <c r="K781">
        <v>569</v>
      </c>
      <c r="L781">
        <f t="shared" si="106"/>
        <v>483</v>
      </c>
      <c r="M781">
        <v>397</v>
      </c>
      <c r="N781">
        <f t="shared" si="107"/>
        <v>272</v>
      </c>
      <c r="O781">
        <v>146</v>
      </c>
      <c r="P781">
        <v>602</v>
      </c>
      <c r="Q781">
        <v>543</v>
      </c>
      <c r="R781">
        <v>446</v>
      </c>
      <c r="S781">
        <f t="shared" si="108"/>
        <v>385</v>
      </c>
      <c r="T781">
        <v>323</v>
      </c>
      <c r="U781">
        <f t="shared" si="109"/>
        <v>225</v>
      </c>
      <c r="V781">
        <v>127</v>
      </c>
      <c r="W781">
        <v>602</v>
      </c>
      <c r="X781">
        <v>543</v>
      </c>
      <c r="Y781">
        <v>446</v>
      </c>
      <c r="Z781">
        <f t="shared" si="110"/>
        <v>385</v>
      </c>
      <c r="AA781">
        <v>323</v>
      </c>
      <c r="AB781">
        <f t="shared" si="111"/>
        <v>225</v>
      </c>
      <c r="AC781">
        <v>127</v>
      </c>
    </row>
    <row r="782" spans="1:29" x14ac:dyDescent="0.25">
      <c r="A782" t="s">
        <v>789</v>
      </c>
      <c r="B782">
        <v>752</v>
      </c>
      <c r="C782">
        <v>667</v>
      </c>
      <c r="D782">
        <v>538</v>
      </c>
      <c r="E782">
        <f t="shared" si="104"/>
        <v>458</v>
      </c>
      <c r="F782">
        <v>377</v>
      </c>
      <c r="G782">
        <f t="shared" si="105"/>
        <v>258</v>
      </c>
      <c r="H782">
        <v>138</v>
      </c>
      <c r="I782">
        <v>752</v>
      </c>
      <c r="J782">
        <v>667</v>
      </c>
      <c r="K782">
        <v>538</v>
      </c>
      <c r="L782">
        <f t="shared" si="106"/>
        <v>458</v>
      </c>
      <c r="M782">
        <v>377</v>
      </c>
      <c r="N782">
        <f t="shared" si="107"/>
        <v>258</v>
      </c>
      <c r="O782">
        <v>138</v>
      </c>
      <c r="P782">
        <v>563</v>
      </c>
      <c r="Q782">
        <v>510</v>
      </c>
      <c r="R782">
        <v>421</v>
      </c>
      <c r="S782">
        <f t="shared" si="108"/>
        <v>364</v>
      </c>
      <c r="T782">
        <v>307</v>
      </c>
      <c r="U782">
        <f t="shared" si="109"/>
        <v>214</v>
      </c>
      <c r="V782">
        <v>120</v>
      </c>
      <c r="W782">
        <v>563</v>
      </c>
      <c r="X782">
        <v>510</v>
      </c>
      <c r="Y782">
        <v>421</v>
      </c>
      <c r="Z782">
        <f t="shared" si="110"/>
        <v>364</v>
      </c>
      <c r="AA782">
        <v>307</v>
      </c>
      <c r="AB782">
        <f t="shared" si="111"/>
        <v>214</v>
      </c>
      <c r="AC782">
        <v>120</v>
      </c>
    </row>
    <row r="783" spans="1:29" x14ac:dyDescent="0.25">
      <c r="A783" t="s">
        <v>790</v>
      </c>
      <c r="B783">
        <v>699</v>
      </c>
      <c r="C783">
        <v>622</v>
      </c>
      <c r="D783">
        <v>511</v>
      </c>
      <c r="E783">
        <f t="shared" si="104"/>
        <v>434</v>
      </c>
      <c r="F783">
        <v>357</v>
      </c>
      <c r="G783">
        <f t="shared" si="105"/>
        <v>245</v>
      </c>
      <c r="H783">
        <v>132</v>
      </c>
      <c r="I783">
        <v>699</v>
      </c>
      <c r="J783">
        <v>622</v>
      </c>
      <c r="K783">
        <v>511</v>
      </c>
      <c r="L783">
        <f t="shared" si="106"/>
        <v>434</v>
      </c>
      <c r="M783">
        <v>357</v>
      </c>
      <c r="N783">
        <f t="shared" si="107"/>
        <v>245</v>
      </c>
      <c r="O783">
        <v>132</v>
      </c>
      <c r="P783">
        <v>524</v>
      </c>
      <c r="Q783">
        <v>476</v>
      </c>
      <c r="R783">
        <v>400</v>
      </c>
      <c r="S783">
        <f t="shared" si="108"/>
        <v>345</v>
      </c>
      <c r="T783">
        <v>290</v>
      </c>
      <c r="U783">
        <f t="shared" si="109"/>
        <v>203</v>
      </c>
      <c r="V783">
        <v>115</v>
      </c>
      <c r="W783">
        <v>524</v>
      </c>
      <c r="X783">
        <v>476</v>
      </c>
      <c r="Y783">
        <v>400</v>
      </c>
      <c r="Z783">
        <f t="shared" si="110"/>
        <v>345</v>
      </c>
      <c r="AA783">
        <v>290</v>
      </c>
      <c r="AB783">
        <f t="shared" si="111"/>
        <v>203</v>
      </c>
      <c r="AC783">
        <v>115</v>
      </c>
    </row>
    <row r="784" spans="1:29" x14ac:dyDescent="0.25">
      <c r="A784" t="s">
        <v>791</v>
      </c>
      <c r="B784">
        <v>645</v>
      </c>
      <c r="C784">
        <v>576</v>
      </c>
      <c r="D784">
        <v>476</v>
      </c>
      <c r="E784">
        <f t="shared" si="104"/>
        <v>408</v>
      </c>
      <c r="F784">
        <v>339</v>
      </c>
      <c r="G784">
        <f t="shared" si="105"/>
        <v>232</v>
      </c>
      <c r="H784">
        <v>124</v>
      </c>
      <c r="I784">
        <v>645</v>
      </c>
      <c r="J784">
        <v>576</v>
      </c>
      <c r="K784">
        <v>476</v>
      </c>
      <c r="L784">
        <f t="shared" si="106"/>
        <v>408</v>
      </c>
      <c r="M784">
        <v>339</v>
      </c>
      <c r="N784">
        <f t="shared" si="107"/>
        <v>232</v>
      </c>
      <c r="O784">
        <v>124</v>
      </c>
      <c r="P784">
        <v>483</v>
      </c>
      <c r="Q784">
        <v>441</v>
      </c>
      <c r="R784">
        <v>372</v>
      </c>
      <c r="S784">
        <f t="shared" si="108"/>
        <v>324</v>
      </c>
      <c r="T784">
        <v>275</v>
      </c>
      <c r="U784">
        <f t="shared" si="109"/>
        <v>192</v>
      </c>
      <c r="V784">
        <v>108</v>
      </c>
      <c r="W784">
        <v>483</v>
      </c>
      <c r="X784">
        <v>441</v>
      </c>
      <c r="Y784">
        <v>372</v>
      </c>
      <c r="Z784">
        <f t="shared" si="110"/>
        <v>324</v>
      </c>
      <c r="AA784">
        <v>275</v>
      </c>
      <c r="AB784">
        <f t="shared" si="111"/>
        <v>192</v>
      </c>
      <c r="AC784">
        <v>108</v>
      </c>
    </row>
    <row r="785" spans="1:29" x14ac:dyDescent="0.25">
      <c r="A785" t="s">
        <v>792</v>
      </c>
      <c r="B785">
        <v>586</v>
      </c>
      <c r="C785">
        <v>526</v>
      </c>
      <c r="D785">
        <v>437</v>
      </c>
      <c r="E785">
        <f t="shared" si="104"/>
        <v>375</v>
      </c>
      <c r="F785">
        <v>312</v>
      </c>
      <c r="G785">
        <f t="shared" si="105"/>
        <v>213</v>
      </c>
      <c r="H785">
        <v>113</v>
      </c>
      <c r="I785">
        <v>586</v>
      </c>
      <c r="J785">
        <v>526</v>
      </c>
      <c r="K785">
        <v>437</v>
      </c>
      <c r="L785">
        <f t="shared" si="106"/>
        <v>375</v>
      </c>
      <c r="M785">
        <v>312</v>
      </c>
      <c r="N785">
        <f t="shared" si="107"/>
        <v>213</v>
      </c>
      <c r="O785">
        <v>113</v>
      </c>
      <c r="P785">
        <v>440</v>
      </c>
      <c r="Q785">
        <v>403</v>
      </c>
      <c r="R785">
        <v>342</v>
      </c>
      <c r="S785">
        <f t="shared" si="108"/>
        <v>298</v>
      </c>
      <c r="T785">
        <v>253</v>
      </c>
      <c r="U785">
        <f t="shared" si="109"/>
        <v>176</v>
      </c>
      <c r="V785">
        <v>99</v>
      </c>
      <c r="W785">
        <v>440</v>
      </c>
      <c r="X785">
        <v>403</v>
      </c>
      <c r="Y785">
        <v>342</v>
      </c>
      <c r="Z785">
        <f t="shared" si="110"/>
        <v>298</v>
      </c>
      <c r="AA785">
        <v>253</v>
      </c>
      <c r="AB785">
        <f t="shared" si="111"/>
        <v>176</v>
      </c>
      <c r="AC785">
        <v>99</v>
      </c>
    </row>
    <row r="786" spans="1:29" x14ac:dyDescent="0.25">
      <c r="A786" t="s">
        <v>793</v>
      </c>
      <c r="B786">
        <v>523</v>
      </c>
      <c r="C786">
        <v>473</v>
      </c>
      <c r="D786">
        <v>394</v>
      </c>
      <c r="E786">
        <f t="shared" si="104"/>
        <v>338</v>
      </c>
      <c r="F786">
        <v>282</v>
      </c>
      <c r="G786">
        <f t="shared" si="105"/>
        <v>192</v>
      </c>
      <c r="H786">
        <v>102</v>
      </c>
      <c r="I786">
        <v>523</v>
      </c>
      <c r="J786">
        <v>473</v>
      </c>
      <c r="K786">
        <v>394</v>
      </c>
      <c r="L786">
        <f t="shared" si="106"/>
        <v>338</v>
      </c>
      <c r="M786">
        <v>282</v>
      </c>
      <c r="N786">
        <f t="shared" si="107"/>
        <v>192</v>
      </c>
      <c r="O786">
        <v>102</v>
      </c>
      <c r="P786">
        <v>392</v>
      </c>
      <c r="Q786">
        <v>362</v>
      </c>
      <c r="R786">
        <v>309</v>
      </c>
      <c r="S786">
        <f t="shared" si="108"/>
        <v>269</v>
      </c>
      <c r="T786">
        <v>229</v>
      </c>
      <c r="U786">
        <f t="shared" si="109"/>
        <v>159</v>
      </c>
      <c r="V786">
        <v>88</v>
      </c>
      <c r="W786">
        <v>392</v>
      </c>
      <c r="X786">
        <v>362</v>
      </c>
      <c r="Y786">
        <v>309</v>
      </c>
      <c r="Z786">
        <f t="shared" si="110"/>
        <v>269</v>
      </c>
      <c r="AA786">
        <v>229</v>
      </c>
      <c r="AB786">
        <f t="shared" si="111"/>
        <v>159</v>
      </c>
      <c r="AC786">
        <v>88</v>
      </c>
    </row>
    <row r="787" spans="1:29" x14ac:dyDescent="0.25">
      <c r="A787" t="s">
        <v>794</v>
      </c>
      <c r="B787">
        <v>794</v>
      </c>
      <c r="C787">
        <v>701</v>
      </c>
      <c r="D787">
        <v>564</v>
      </c>
      <c r="E787">
        <f t="shared" si="104"/>
        <v>478</v>
      </c>
      <c r="F787">
        <v>392</v>
      </c>
      <c r="G787">
        <f t="shared" si="105"/>
        <v>268</v>
      </c>
      <c r="H787">
        <v>143</v>
      </c>
      <c r="I787">
        <v>794</v>
      </c>
      <c r="J787">
        <v>701</v>
      </c>
      <c r="K787">
        <v>564</v>
      </c>
      <c r="L787">
        <f t="shared" si="106"/>
        <v>478</v>
      </c>
      <c r="M787">
        <v>392</v>
      </c>
      <c r="N787">
        <f t="shared" si="107"/>
        <v>268</v>
      </c>
      <c r="O787">
        <v>143</v>
      </c>
      <c r="P787">
        <v>595</v>
      </c>
      <c r="Q787">
        <v>536</v>
      </c>
      <c r="R787">
        <v>441</v>
      </c>
      <c r="S787">
        <f t="shared" si="108"/>
        <v>380</v>
      </c>
      <c r="T787">
        <v>319</v>
      </c>
      <c r="U787">
        <f t="shared" si="109"/>
        <v>222</v>
      </c>
      <c r="V787">
        <v>125</v>
      </c>
      <c r="W787">
        <v>595</v>
      </c>
      <c r="X787">
        <v>536</v>
      </c>
      <c r="Y787">
        <v>441</v>
      </c>
      <c r="Z787">
        <f t="shared" si="110"/>
        <v>380</v>
      </c>
      <c r="AA787">
        <v>319</v>
      </c>
      <c r="AB787">
        <f t="shared" si="111"/>
        <v>222</v>
      </c>
      <c r="AC787">
        <v>125</v>
      </c>
    </row>
    <row r="788" spans="1:29" x14ac:dyDescent="0.25">
      <c r="A788" t="s">
        <v>795</v>
      </c>
      <c r="B788">
        <v>742</v>
      </c>
      <c r="C788">
        <v>657</v>
      </c>
      <c r="D788">
        <v>537</v>
      </c>
      <c r="E788">
        <f t="shared" si="104"/>
        <v>455</v>
      </c>
      <c r="F788">
        <v>372</v>
      </c>
      <c r="G788">
        <f t="shared" si="105"/>
        <v>255</v>
      </c>
      <c r="H788">
        <v>137</v>
      </c>
      <c r="I788">
        <v>742</v>
      </c>
      <c r="J788">
        <v>657</v>
      </c>
      <c r="K788">
        <v>537</v>
      </c>
      <c r="L788">
        <f t="shared" si="106"/>
        <v>455</v>
      </c>
      <c r="M788">
        <v>372</v>
      </c>
      <c r="N788">
        <f t="shared" si="107"/>
        <v>255</v>
      </c>
      <c r="O788">
        <v>137</v>
      </c>
      <c r="P788">
        <v>556</v>
      </c>
      <c r="Q788">
        <v>503</v>
      </c>
      <c r="R788">
        <v>420</v>
      </c>
      <c r="S788">
        <f t="shared" si="108"/>
        <v>361</v>
      </c>
      <c r="T788">
        <v>302</v>
      </c>
      <c r="U788">
        <f t="shared" si="109"/>
        <v>211</v>
      </c>
      <c r="V788">
        <v>119</v>
      </c>
      <c r="W788">
        <v>556</v>
      </c>
      <c r="X788">
        <v>503</v>
      </c>
      <c r="Y788">
        <v>420</v>
      </c>
      <c r="Z788">
        <f t="shared" si="110"/>
        <v>361</v>
      </c>
      <c r="AA788">
        <v>302</v>
      </c>
      <c r="AB788">
        <f t="shared" si="111"/>
        <v>211</v>
      </c>
      <c r="AC788">
        <v>119</v>
      </c>
    </row>
    <row r="789" spans="1:29" x14ac:dyDescent="0.25">
      <c r="A789" t="s">
        <v>796</v>
      </c>
      <c r="B789">
        <v>689</v>
      </c>
      <c r="C789">
        <v>614</v>
      </c>
      <c r="D789">
        <v>504</v>
      </c>
      <c r="E789">
        <f t="shared" si="104"/>
        <v>428</v>
      </c>
      <c r="F789">
        <v>351</v>
      </c>
      <c r="G789">
        <f t="shared" si="105"/>
        <v>240</v>
      </c>
      <c r="H789">
        <v>129</v>
      </c>
      <c r="I789">
        <v>689</v>
      </c>
      <c r="J789">
        <v>614</v>
      </c>
      <c r="K789">
        <v>504</v>
      </c>
      <c r="L789">
        <f t="shared" si="106"/>
        <v>428</v>
      </c>
      <c r="M789">
        <v>351</v>
      </c>
      <c r="N789">
        <f t="shared" si="107"/>
        <v>240</v>
      </c>
      <c r="O789">
        <v>129</v>
      </c>
      <c r="P789">
        <v>517</v>
      </c>
      <c r="Q789">
        <v>470</v>
      </c>
      <c r="R789">
        <v>394</v>
      </c>
      <c r="S789">
        <f t="shared" si="108"/>
        <v>340</v>
      </c>
      <c r="T789">
        <v>285</v>
      </c>
      <c r="U789">
        <f t="shared" si="109"/>
        <v>199</v>
      </c>
      <c r="V789">
        <v>112</v>
      </c>
      <c r="W789">
        <v>517</v>
      </c>
      <c r="X789">
        <v>470</v>
      </c>
      <c r="Y789">
        <v>394</v>
      </c>
      <c r="Z789">
        <f t="shared" si="110"/>
        <v>340</v>
      </c>
      <c r="AA789">
        <v>285</v>
      </c>
      <c r="AB789">
        <f t="shared" si="111"/>
        <v>199</v>
      </c>
      <c r="AC789">
        <v>112</v>
      </c>
    </row>
    <row r="790" spans="1:29" x14ac:dyDescent="0.25">
      <c r="A790" t="s">
        <v>797</v>
      </c>
      <c r="B790">
        <v>636</v>
      </c>
      <c r="C790">
        <v>569</v>
      </c>
      <c r="D790">
        <v>468</v>
      </c>
      <c r="E790">
        <f t="shared" si="104"/>
        <v>401</v>
      </c>
      <c r="F790">
        <v>333</v>
      </c>
      <c r="G790">
        <f t="shared" si="105"/>
        <v>228</v>
      </c>
      <c r="H790">
        <v>122</v>
      </c>
      <c r="I790">
        <v>636</v>
      </c>
      <c r="J790">
        <v>569</v>
      </c>
      <c r="K790">
        <v>468</v>
      </c>
      <c r="L790">
        <f t="shared" si="106"/>
        <v>401</v>
      </c>
      <c r="M790">
        <v>333</v>
      </c>
      <c r="N790">
        <f t="shared" si="107"/>
        <v>228</v>
      </c>
      <c r="O790">
        <v>122</v>
      </c>
      <c r="P790">
        <v>477</v>
      </c>
      <c r="Q790">
        <v>435</v>
      </c>
      <c r="R790">
        <v>367</v>
      </c>
      <c r="S790">
        <f t="shared" si="108"/>
        <v>319</v>
      </c>
      <c r="T790">
        <v>271</v>
      </c>
      <c r="U790">
        <f t="shared" si="109"/>
        <v>189</v>
      </c>
      <c r="V790">
        <v>107</v>
      </c>
      <c r="W790">
        <v>477</v>
      </c>
      <c r="X790">
        <v>435</v>
      </c>
      <c r="Y790">
        <v>367</v>
      </c>
      <c r="Z790">
        <f t="shared" si="110"/>
        <v>319</v>
      </c>
      <c r="AA790">
        <v>271</v>
      </c>
      <c r="AB790">
        <f t="shared" si="111"/>
        <v>189</v>
      </c>
      <c r="AC790">
        <v>107</v>
      </c>
    </row>
    <row r="791" spans="1:29" x14ac:dyDescent="0.25">
      <c r="A791" t="s">
        <v>798</v>
      </c>
      <c r="B791">
        <v>580</v>
      </c>
      <c r="C791">
        <v>522</v>
      </c>
      <c r="D791">
        <v>432</v>
      </c>
      <c r="E791">
        <f t="shared" si="104"/>
        <v>371</v>
      </c>
      <c r="F791">
        <v>310</v>
      </c>
      <c r="G791">
        <f t="shared" si="105"/>
        <v>212</v>
      </c>
      <c r="H791">
        <v>113</v>
      </c>
      <c r="I791">
        <v>580</v>
      </c>
      <c r="J791">
        <v>522</v>
      </c>
      <c r="K791">
        <v>432</v>
      </c>
      <c r="L791">
        <f t="shared" si="106"/>
        <v>371</v>
      </c>
      <c r="M791">
        <v>310</v>
      </c>
      <c r="N791">
        <f t="shared" si="107"/>
        <v>212</v>
      </c>
      <c r="O791">
        <v>113</v>
      </c>
      <c r="P791">
        <v>435</v>
      </c>
      <c r="Q791">
        <v>399</v>
      </c>
      <c r="R791">
        <v>338</v>
      </c>
      <c r="S791">
        <f t="shared" si="108"/>
        <v>295</v>
      </c>
      <c r="T791">
        <v>252</v>
      </c>
      <c r="U791">
        <f t="shared" si="109"/>
        <v>176</v>
      </c>
      <c r="V791">
        <v>99</v>
      </c>
      <c r="W791">
        <v>435</v>
      </c>
      <c r="X791">
        <v>399</v>
      </c>
      <c r="Y791">
        <v>338</v>
      </c>
      <c r="Z791">
        <f t="shared" si="110"/>
        <v>295</v>
      </c>
      <c r="AA791">
        <v>252</v>
      </c>
      <c r="AB791">
        <f t="shared" si="111"/>
        <v>176</v>
      </c>
      <c r="AC791">
        <v>99</v>
      </c>
    </row>
    <row r="792" spans="1:29" x14ac:dyDescent="0.25">
      <c r="A792" t="s">
        <v>799</v>
      </c>
      <c r="B792">
        <v>519</v>
      </c>
      <c r="C792">
        <v>468</v>
      </c>
      <c r="D792">
        <v>389</v>
      </c>
      <c r="E792">
        <f t="shared" si="104"/>
        <v>335</v>
      </c>
      <c r="F792">
        <v>280</v>
      </c>
      <c r="G792">
        <f t="shared" si="105"/>
        <v>191</v>
      </c>
      <c r="H792">
        <v>102</v>
      </c>
      <c r="I792">
        <v>519</v>
      </c>
      <c r="J792">
        <v>468</v>
      </c>
      <c r="K792">
        <v>389</v>
      </c>
      <c r="L792">
        <f t="shared" si="106"/>
        <v>335</v>
      </c>
      <c r="M792">
        <v>280</v>
      </c>
      <c r="N792">
        <f t="shared" si="107"/>
        <v>191</v>
      </c>
      <c r="O792">
        <v>102</v>
      </c>
      <c r="P792">
        <v>389</v>
      </c>
      <c r="Q792">
        <v>358</v>
      </c>
      <c r="R792">
        <v>305</v>
      </c>
      <c r="S792">
        <f t="shared" si="108"/>
        <v>266</v>
      </c>
      <c r="T792">
        <v>227</v>
      </c>
      <c r="U792">
        <f t="shared" si="109"/>
        <v>158</v>
      </c>
      <c r="V792">
        <v>88</v>
      </c>
      <c r="W792">
        <v>389</v>
      </c>
      <c r="X792">
        <v>358</v>
      </c>
      <c r="Y792">
        <v>305</v>
      </c>
      <c r="Z792">
        <f t="shared" si="110"/>
        <v>266</v>
      </c>
      <c r="AA792">
        <v>227</v>
      </c>
      <c r="AB792">
        <f t="shared" si="111"/>
        <v>158</v>
      </c>
      <c r="AC792">
        <v>88</v>
      </c>
    </row>
    <row r="793" spans="1:29" x14ac:dyDescent="0.25">
      <c r="A793" t="s">
        <v>800</v>
      </c>
      <c r="B793">
        <v>454</v>
      </c>
      <c r="C793">
        <v>411</v>
      </c>
      <c r="D793">
        <v>346</v>
      </c>
      <c r="E793">
        <f t="shared" si="104"/>
        <v>298</v>
      </c>
      <c r="F793">
        <v>250</v>
      </c>
      <c r="G793">
        <f t="shared" si="105"/>
        <v>171</v>
      </c>
      <c r="H793">
        <v>91</v>
      </c>
      <c r="I793">
        <v>454</v>
      </c>
      <c r="J793">
        <v>411</v>
      </c>
      <c r="K793">
        <v>346</v>
      </c>
      <c r="L793">
        <f t="shared" si="106"/>
        <v>298</v>
      </c>
      <c r="M793">
        <v>250</v>
      </c>
      <c r="N793">
        <f t="shared" si="107"/>
        <v>171</v>
      </c>
      <c r="O793">
        <v>91</v>
      </c>
      <c r="P793">
        <v>340</v>
      </c>
      <c r="Q793">
        <v>315</v>
      </c>
      <c r="R793">
        <v>270</v>
      </c>
      <c r="S793">
        <f t="shared" si="108"/>
        <v>237</v>
      </c>
      <c r="T793">
        <v>203</v>
      </c>
      <c r="U793">
        <f t="shared" si="109"/>
        <v>141</v>
      </c>
      <c r="V793">
        <v>79</v>
      </c>
      <c r="W793">
        <v>340</v>
      </c>
      <c r="X793">
        <v>315</v>
      </c>
      <c r="Y793">
        <v>270</v>
      </c>
      <c r="Z793">
        <f t="shared" si="110"/>
        <v>237</v>
      </c>
      <c r="AA793">
        <v>203</v>
      </c>
      <c r="AB793">
        <f t="shared" si="111"/>
        <v>141</v>
      </c>
      <c r="AC793">
        <v>79</v>
      </c>
    </row>
    <row r="794" spans="1:29" x14ac:dyDescent="0.25">
      <c r="A794" t="s">
        <v>801</v>
      </c>
      <c r="B794">
        <v>733</v>
      </c>
      <c r="C794">
        <v>648</v>
      </c>
      <c r="D794">
        <v>529</v>
      </c>
      <c r="E794">
        <f t="shared" si="104"/>
        <v>448</v>
      </c>
      <c r="F794">
        <v>366</v>
      </c>
      <c r="G794">
        <f t="shared" si="105"/>
        <v>250</v>
      </c>
      <c r="H794">
        <v>134</v>
      </c>
      <c r="I794">
        <v>733</v>
      </c>
      <c r="J794">
        <v>648</v>
      </c>
      <c r="K794">
        <v>529</v>
      </c>
      <c r="L794">
        <f t="shared" si="106"/>
        <v>448</v>
      </c>
      <c r="M794">
        <v>366</v>
      </c>
      <c r="N794">
        <f t="shared" si="107"/>
        <v>250</v>
      </c>
      <c r="O794">
        <v>134</v>
      </c>
      <c r="P794">
        <v>549</v>
      </c>
      <c r="Q794">
        <v>496</v>
      </c>
      <c r="R794">
        <v>414</v>
      </c>
      <c r="S794">
        <f t="shared" si="108"/>
        <v>356</v>
      </c>
      <c r="T794">
        <v>297</v>
      </c>
      <c r="U794">
        <f t="shared" si="109"/>
        <v>207</v>
      </c>
      <c r="V794">
        <v>117</v>
      </c>
      <c r="W794">
        <v>549</v>
      </c>
      <c r="X794">
        <v>496</v>
      </c>
      <c r="Y794">
        <v>414</v>
      </c>
      <c r="Z794">
        <f t="shared" si="110"/>
        <v>356</v>
      </c>
      <c r="AA794">
        <v>297</v>
      </c>
      <c r="AB794">
        <f t="shared" si="111"/>
        <v>207</v>
      </c>
      <c r="AC794">
        <v>117</v>
      </c>
    </row>
    <row r="795" spans="1:29" x14ac:dyDescent="0.25">
      <c r="A795" t="s">
        <v>802</v>
      </c>
      <c r="B795">
        <v>680</v>
      </c>
      <c r="C795">
        <v>605</v>
      </c>
      <c r="D795">
        <v>495</v>
      </c>
      <c r="E795">
        <f t="shared" si="104"/>
        <v>421</v>
      </c>
      <c r="F795">
        <v>346</v>
      </c>
      <c r="G795">
        <f t="shared" si="105"/>
        <v>236</v>
      </c>
      <c r="H795">
        <v>126</v>
      </c>
      <c r="I795">
        <v>680</v>
      </c>
      <c r="J795">
        <v>605</v>
      </c>
      <c r="K795">
        <v>495</v>
      </c>
      <c r="L795">
        <f t="shared" si="106"/>
        <v>421</v>
      </c>
      <c r="M795">
        <v>346</v>
      </c>
      <c r="N795">
        <f t="shared" si="107"/>
        <v>236</v>
      </c>
      <c r="O795">
        <v>126</v>
      </c>
      <c r="P795">
        <v>510</v>
      </c>
      <c r="Q795">
        <v>463</v>
      </c>
      <c r="R795">
        <v>388</v>
      </c>
      <c r="S795">
        <f t="shared" si="108"/>
        <v>335</v>
      </c>
      <c r="T795">
        <v>281</v>
      </c>
      <c r="U795">
        <f t="shared" si="109"/>
        <v>196</v>
      </c>
      <c r="V795">
        <v>110</v>
      </c>
      <c r="W795">
        <v>510</v>
      </c>
      <c r="X795">
        <v>463</v>
      </c>
      <c r="Y795">
        <v>388</v>
      </c>
      <c r="Z795">
        <f t="shared" si="110"/>
        <v>335</v>
      </c>
      <c r="AA795">
        <v>281</v>
      </c>
      <c r="AB795">
        <f t="shared" si="111"/>
        <v>196</v>
      </c>
      <c r="AC795">
        <v>110</v>
      </c>
    </row>
    <row r="796" spans="1:29" x14ac:dyDescent="0.25">
      <c r="A796" t="s">
        <v>803</v>
      </c>
      <c r="B796">
        <v>627</v>
      </c>
      <c r="C796">
        <v>560</v>
      </c>
      <c r="D796">
        <v>461</v>
      </c>
      <c r="E796">
        <f t="shared" si="104"/>
        <v>395</v>
      </c>
      <c r="F796">
        <v>328</v>
      </c>
      <c r="G796">
        <f t="shared" si="105"/>
        <v>225</v>
      </c>
      <c r="H796">
        <v>121</v>
      </c>
      <c r="I796">
        <v>627</v>
      </c>
      <c r="J796">
        <v>560</v>
      </c>
      <c r="K796">
        <v>461</v>
      </c>
      <c r="L796">
        <f t="shared" si="106"/>
        <v>395</v>
      </c>
      <c r="M796">
        <v>328</v>
      </c>
      <c r="N796">
        <f t="shared" si="107"/>
        <v>225</v>
      </c>
      <c r="O796">
        <v>121</v>
      </c>
      <c r="P796">
        <v>470</v>
      </c>
      <c r="Q796">
        <v>428</v>
      </c>
      <c r="R796">
        <v>361</v>
      </c>
      <c r="S796">
        <f t="shared" si="108"/>
        <v>314</v>
      </c>
      <c r="T796">
        <v>267</v>
      </c>
      <c r="U796">
        <f t="shared" si="109"/>
        <v>186</v>
      </c>
      <c r="V796">
        <v>105</v>
      </c>
      <c r="W796">
        <v>470</v>
      </c>
      <c r="X796">
        <v>428</v>
      </c>
      <c r="Y796">
        <v>361</v>
      </c>
      <c r="Z796">
        <f t="shared" si="110"/>
        <v>314</v>
      </c>
      <c r="AA796">
        <v>267</v>
      </c>
      <c r="AB796">
        <f t="shared" si="111"/>
        <v>186</v>
      </c>
      <c r="AC796">
        <v>105</v>
      </c>
    </row>
    <row r="797" spans="1:29" x14ac:dyDescent="0.25">
      <c r="A797" t="s">
        <v>804</v>
      </c>
      <c r="B797">
        <v>572</v>
      </c>
      <c r="C797">
        <v>513</v>
      </c>
      <c r="D797">
        <v>425</v>
      </c>
      <c r="E797">
        <f t="shared" si="104"/>
        <v>365</v>
      </c>
      <c r="F797">
        <v>305</v>
      </c>
      <c r="G797">
        <f t="shared" si="105"/>
        <v>209</v>
      </c>
      <c r="H797">
        <v>112</v>
      </c>
      <c r="I797">
        <v>572</v>
      </c>
      <c r="J797">
        <v>513</v>
      </c>
      <c r="K797">
        <v>425</v>
      </c>
      <c r="L797">
        <f t="shared" si="106"/>
        <v>365</v>
      </c>
      <c r="M797">
        <v>305</v>
      </c>
      <c r="N797">
        <f t="shared" si="107"/>
        <v>209</v>
      </c>
      <c r="O797">
        <v>112</v>
      </c>
      <c r="P797">
        <v>429</v>
      </c>
      <c r="Q797">
        <v>392</v>
      </c>
      <c r="R797">
        <v>332</v>
      </c>
      <c r="S797">
        <f t="shared" si="108"/>
        <v>290</v>
      </c>
      <c r="T797">
        <v>247</v>
      </c>
      <c r="U797">
        <f t="shared" si="109"/>
        <v>173</v>
      </c>
      <c r="V797">
        <v>98</v>
      </c>
      <c r="W797">
        <v>429</v>
      </c>
      <c r="X797">
        <v>392</v>
      </c>
      <c r="Y797">
        <v>332</v>
      </c>
      <c r="Z797">
        <f t="shared" si="110"/>
        <v>290</v>
      </c>
      <c r="AA797">
        <v>247</v>
      </c>
      <c r="AB797">
        <f t="shared" si="111"/>
        <v>173</v>
      </c>
      <c r="AC797">
        <v>98</v>
      </c>
    </row>
    <row r="798" spans="1:29" x14ac:dyDescent="0.25">
      <c r="A798" t="s">
        <v>805</v>
      </c>
      <c r="B798">
        <v>512</v>
      </c>
      <c r="C798">
        <v>462</v>
      </c>
      <c r="D798">
        <v>386</v>
      </c>
      <c r="E798">
        <f t="shared" si="104"/>
        <v>332</v>
      </c>
      <c r="F798">
        <v>277</v>
      </c>
      <c r="G798">
        <f t="shared" si="105"/>
        <v>190</v>
      </c>
      <c r="H798">
        <v>102</v>
      </c>
      <c r="I798">
        <v>512</v>
      </c>
      <c r="J798">
        <v>462</v>
      </c>
      <c r="K798">
        <v>386</v>
      </c>
      <c r="L798">
        <f t="shared" si="106"/>
        <v>332</v>
      </c>
      <c r="M798">
        <v>277</v>
      </c>
      <c r="N798">
        <f t="shared" si="107"/>
        <v>190</v>
      </c>
      <c r="O798">
        <v>102</v>
      </c>
      <c r="P798">
        <v>384</v>
      </c>
      <c r="Q798">
        <v>354</v>
      </c>
      <c r="R798">
        <v>302</v>
      </c>
      <c r="S798">
        <f t="shared" si="108"/>
        <v>264</v>
      </c>
      <c r="T798">
        <v>225</v>
      </c>
      <c r="U798">
        <f t="shared" si="109"/>
        <v>157</v>
      </c>
      <c r="V798">
        <v>88</v>
      </c>
      <c r="W798">
        <v>384</v>
      </c>
      <c r="X798">
        <v>354</v>
      </c>
      <c r="Y798">
        <v>302</v>
      </c>
      <c r="Z798">
        <f t="shared" si="110"/>
        <v>264</v>
      </c>
      <c r="AA798">
        <v>225</v>
      </c>
      <c r="AB798">
        <f t="shared" si="111"/>
        <v>157</v>
      </c>
      <c r="AC798">
        <v>88</v>
      </c>
    </row>
    <row r="799" spans="1:29" x14ac:dyDescent="0.25">
      <c r="A799" t="s">
        <v>806</v>
      </c>
      <c r="B799">
        <v>448</v>
      </c>
      <c r="C799">
        <v>407</v>
      </c>
      <c r="D799">
        <v>341</v>
      </c>
      <c r="E799">
        <f t="shared" si="104"/>
        <v>294</v>
      </c>
      <c r="F799">
        <v>247</v>
      </c>
      <c r="G799">
        <f t="shared" si="105"/>
        <v>169</v>
      </c>
      <c r="H799">
        <v>90</v>
      </c>
      <c r="I799">
        <v>448</v>
      </c>
      <c r="J799">
        <v>407</v>
      </c>
      <c r="K799">
        <v>341</v>
      </c>
      <c r="L799">
        <f t="shared" si="106"/>
        <v>294</v>
      </c>
      <c r="M799">
        <v>247</v>
      </c>
      <c r="N799">
        <f t="shared" si="107"/>
        <v>169</v>
      </c>
      <c r="O799">
        <v>90</v>
      </c>
      <c r="P799">
        <v>336</v>
      </c>
      <c r="Q799">
        <v>311</v>
      </c>
      <c r="R799">
        <v>267</v>
      </c>
      <c r="S799">
        <f t="shared" si="108"/>
        <v>234</v>
      </c>
      <c r="T799">
        <v>201</v>
      </c>
      <c r="U799">
        <f t="shared" si="109"/>
        <v>140</v>
      </c>
      <c r="V799">
        <v>78</v>
      </c>
      <c r="W799">
        <v>336</v>
      </c>
      <c r="X799">
        <v>311</v>
      </c>
      <c r="Y799">
        <v>267</v>
      </c>
      <c r="Z799">
        <f t="shared" si="110"/>
        <v>234</v>
      </c>
      <c r="AA799">
        <v>201</v>
      </c>
      <c r="AB799">
        <f t="shared" si="111"/>
        <v>140</v>
      </c>
      <c r="AC799">
        <v>78</v>
      </c>
    </row>
    <row r="800" spans="1:29" x14ac:dyDescent="0.25">
      <c r="A800" t="s">
        <v>807</v>
      </c>
      <c r="B800">
        <v>670</v>
      </c>
      <c r="C800">
        <v>595</v>
      </c>
      <c r="D800">
        <v>488</v>
      </c>
      <c r="E800">
        <f t="shared" si="104"/>
        <v>414</v>
      </c>
      <c r="F800">
        <v>340</v>
      </c>
      <c r="G800">
        <f t="shared" si="105"/>
        <v>232</v>
      </c>
      <c r="H800">
        <v>124</v>
      </c>
      <c r="I800">
        <v>670</v>
      </c>
      <c r="J800">
        <v>595</v>
      </c>
      <c r="K800">
        <v>488</v>
      </c>
      <c r="L800">
        <f t="shared" si="106"/>
        <v>414</v>
      </c>
      <c r="M800">
        <v>340</v>
      </c>
      <c r="N800">
        <f t="shared" si="107"/>
        <v>232</v>
      </c>
      <c r="O800">
        <v>124</v>
      </c>
      <c r="P800">
        <v>502</v>
      </c>
      <c r="Q800">
        <v>455</v>
      </c>
      <c r="R800">
        <v>382</v>
      </c>
      <c r="S800">
        <f t="shared" si="108"/>
        <v>329</v>
      </c>
      <c r="T800">
        <v>276</v>
      </c>
      <c r="U800">
        <f t="shared" si="109"/>
        <v>192</v>
      </c>
      <c r="V800">
        <v>108</v>
      </c>
      <c r="W800">
        <v>502</v>
      </c>
      <c r="X800">
        <v>455</v>
      </c>
      <c r="Y800">
        <v>382</v>
      </c>
      <c r="Z800">
        <f t="shared" si="110"/>
        <v>329</v>
      </c>
      <c r="AA800">
        <v>276</v>
      </c>
      <c r="AB800">
        <f t="shared" si="111"/>
        <v>192</v>
      </c>
      <c r="AC800">
        <v>108</v>
      </c>
    </row>
    <row r="801" spans="1:29" x14ac:dyDescent="0.25">
      <c r="A801" t="s">
        <v>808</v>
      </c>
      <c r="B801">
        <v>616</v>
      </c>
      <c r="C801">
        <v>551</v>
      </c>
      <c r="D801">
        <v>453</v>
      </c>
      <c r="E801">
        <f t="shared" si="104"/>
        <v>388</v>
      </c>
      <c r="F801">
        <v>322</v>
      </c>
      <c r="G801">
        <f t="shared" si="105"/>
        <v>220</v>
      </c>
      <c r="H801">
        <v>118</v>
      </c>
      <c r="I801">
        <v>616</v>
      </c>
      <c r="J801">
        <v>551</v>
      </c>
      <c r="K801">
        <v>453</v>
      </c>
      <c r="L801">
        <f t="shared" si="106"/>
        <v>388</v>
      </c>
      <c r="M801">
        <v>322</v>
      </c>
      <c r="N801">
        <f t="shared" si="107"/>
        <v>220</v>
      </c>
      <c r="O801">
        <v>118</v>
      </c>
      <c r="P801">
        <v>462</v>
      </c>
      <c r="Q801">
        <v>421</v>
      </c>
      <c r="R801">
        <v>354</v>
      </c>
      <c r="S801">
        <f t="shared" si="108"/>
        <v>308</v>
      </c>
      <c r="T801">
        <v>262</v>
      </c>
      <c r="U801">
        <f t="shared" si="109"/>
        <v>183</v>
      </c>
      <c r="V801">
        <v>103</v>
      </c>
      <c r="W801">
        <v>462</v>
      </c>
      <c r="X801">
        <v>421</v>
      </c>
      <c r="Y801">
        <v>354</v>
      </c>
      <c r="Z801">
        <f t="shared" si="110"/>
        <v>308</v>
      </c>
      <c r="AA801">
        <v>262</v>
      </c>
      <c r="AB801">
        <f t="shared" si="111"/>
        <v>183</v>
      </c>
      <c r="AC801">
        <v>103</v>
      </c>
    </row>
    <row r="802" spans="1:29" x14ac:dyDescent="0.25">
      <c r="A802" t="s">
        <v>809</v>
      </c>
      <c r="B802">
        <v>561</v>
      </c>
      <c r="C802">
        <v>504</v>
      </c>
      <c r="D802">
        <v>417</v>
      </c>
      <c r="E802">
        <f t="shared" si="104"/>
        <v>359</v>
      </c>
      <c r="F802">
        <v>300</v>
      </c>
      <c r="G802">
        <f t="shared" si="105"/>
        <v>205</v>
      </c>
      <c r="H802">
        <v>110</v>
      </c>
      <c r="I802">
        <v>561</v>
      </c>
      <c r="J802">
        <v>504</v>
      </c>
      <c r="K802">
        <v>417</v>
      </c>
      <c r="L802">
        <f t="shared" si="106"/>
        <v>359</v>
      </c>
      <c r="M802">
        <v>300</v>
      </c>
      <c r="N802">
        <f t="shared" si="107"/>
        <v>205</v>
      </c>
      <c r="O802">
        <v>110</v>
      </c>
      <c r="P802">
        <v>421</v>
      </c>
      <c r="Q802">
        <v>385</v>
      </c>
      <c r="R802">
        <v>327</v>
      </c>
      <c r="S802">
        <f t="shared" si="108"/>
        <v>285</v>
      </c>
      <c r="T802">
        <v>243</v>
      </c>
      <c r="U802">
        <f t="shared" si="109"/>
        <v>170</v>
      </c>
      <c r="V802">
        <v>96</v>
      </c>
      <c r="W802">
        <v>421</v>
      </c>
      <c r="X802">
        <v>385</v>
      </c>
      <c r="Y802">
        <v>327</v>
      </c>
      <c r="Z802">
        <f t="shared" si="110"/>
        <v>285</v>
      </c>
      <c r="AA802">
        <v>243</v>
      </c>
      <c r="AB802">
        <f t="shared" si="111"/>
        <v>170</v>
      </c>
      <c r="AC802">
        <v>96</v>
      </c>
    </row>
    <row r="803" spans="1:29" x14ac:dyDescent="0.25">
      <c r="A803" t="s">
        <v>810</v>
      </c>
      <c r="B803">
        <v>505</v>
      </c>
      <c r="C803">
        <v>456</v>
      </c>
      <c r="D803">
        <v>380</v>
      </c>
      <c r="E803">
        <f t="shared" si="104"/>
        <v>328</v>
      </c>
      <c r="F803">
        <v>275</v>
      </c>
      <c r="G803">
        <f t="shared" si="105"/>
        <v>189</v>
      </c>
      <c r="H803">
        <v>102</v>
      </c>
      <c r="I803">
        <v>505</v>
      </c>
      <c r="J803">
        <v>456</v>
      </c>
      <c r="K803">
        <v>380</v>
      </c>
      <c r="L803">
        <f t="shared" si="106"/>
        <v>328</v>
      </c>
      <c r="M803">
        <v>275</v>
      </c>
      <c r="N803">
        <f t="shared" si="107"/>
        <v>189</v>
      </c>
      <c r="O803">
        <v>102</v>
      </c>
      <c r="P803">
        <v>378</v>
      </c>
      <c r="Q803">
        <v>349</v>
      </c>
      <c r="R803">
        <v>297</v>
      </c>
      <c r="S803">
        <f t="shared" si="108"/>
        <v>260</v>
      </c>
      <c r="T803">
        <v>223</v>
      </c>
      <c r="U803">
        <f t="shared" si="109"/>
        <v>156</v>
      </c>
      <c r="V803">
        <v>88</v>
      </c>
      <c r="W803">
        <v>378</v>
      </c>
      <c r="X803">
        <v>349</v>
      </c>
      <c r="Y803">
        <v>297</v>
      </c>
      <c r="Z803">
        <f t="shared" si="110"/>
        <v>260</v>
      </c>
      <c r="AA803">
        <v>223</v>
      </c>
      <c r="AB803">
        <f t="shared" si="111"/>
        <v>156</v>
      </c>
      <c r="AC803">
        <v>88</v>
      </c>
    </row>
    <row r="804" spans="1:29" x14ac:dyDescent="0.25">
      <c r="A804" t="s">
        <v>811</v>
      </c>
      <c r="B804">
        <v>442</v>
      </c>
      <c r="C804">
        <v>401</v>
      </c>
      <c r="D804">
        <v>337</v>
      </c>
      <c r="E804">
        <f t="shared" si="104"/>
        <v>291</v>
      </c>
      <c r="F804">
        <v>244</v>
      </c>
      <c r="G804">
        <f t="shared" si="105"/>
        <v>167</v>
      </c>
      <c r="H804">
        <v>90</v>
      </c>
      <c r="I804">
        <v>442</v>
      </c>
      <c r="J804">
        <v>401</v>
      </c>
      <c r="K804">
        <v>337</v>
      </c>
      <c r="L804">
        <f t="shared" si="106"/>
        <v>291</v>
      </c>
      <c r="M804">
        <v>244</v>
      </c>
      <c r="N804">
        <f t="shared" si="107"/>
        <v>167</v>
      </c>
      <c r="O804">
        <v>90</v>
      </c>
      <c r="P804">
        <v>331</v>
      </c>
      <c r="Q804">
        <v>307</v>
      </c>
      <c r="R804">
        <v>264</v>
      </c>
      <c r="S804">
        <f t="shared" si="108"/>
        <v>232</v>
      </c>
      <c r="T804">
        <v>199</v>
      </c>
      <c r="U804">
        <f t="shared" si="109"/>
        <v>139</v>
      </c>
      <c r="V804">
        <v>78</v>
      </c>
      <c r="W804">
        <v>331</v>
      </c>
      <c r="X804">
        <v>307</v>
      </c>
      <c r="Y804">
        <v>264</v>
      </c>
      <c r="Z804">
        <f t="shared" si="110"/>
        <v>232</v>
      </c>
      <c r="AA804">
        <v>199</v>
      </c>
      <c r="AB804">
        <f t="shared" si="111"/>
        <v>139</v>
      </c>
      <c r="AC804">
        <v>78</v>
      </c>
    </row>
    <row r="805" spans="1:29" x14ac:dyDescent="0.25">
      <c r="A805" t="s">
        <v>812</v>
      </c>
      <c r="B805">
        <v>605</v>
      </c>
      <c r="C805">
        <v>540</v>
      </c>
      <c r="D805">
        <v>444</v>
      </c>
      <c r="E805">
        <f t="shared" si="104"/>
        <v>380</v>
      </c>
      <c r="F805">
        <v>316</v>
      </c>
      <c r="G805">
        <f t="shared" si="105"/>
        <v>216</v>
      </c>
      <c r="H805">
        <v>116</v>
      </c>
      <c r="I805">
        <v>605</v>
      </c>
      <c r="J805">
        <v>540</v>
      </c>
      <c r="K805">
        <v>444</v>
      </c>
      <c r="L805">
        <f t="shared" si="106"/>
        <v>380</v>
      </c>
      <c r="M805">
        <v>316</v>
      </c>
      <c r="N805">
        <f t="shared" si="107"/>
        <v>216</v>
      </c>
      <c r="O805">
        <v>116</v>
      </c>
      <c r="P805">
        <v>454</v>
      </c>
      <c r="Q805">
        <v>413</v>
      </c>
      <c r="R805">
        <v>348</v>
      </c>
      <c r="S805">
        <f t="shared" si="108"/>
        <v>303</v>
      </c>
      <c r="T805">
        <v>257</v>
      </c>
      <c r="U805">
        <f t="shared" si="109"/>
        <v>179</v>
      </c>
      <c r="V805">
        <v>101</v>
      </c>
      <c r="W805">
        <v>454</v>
      </c>
      <c r="X805">
        <v>413</v>
      </c>
      <c r="Y805">
        <v>348</v>
      </c>
      <c r="Z805">
        <f t="shared" si="110"/>
        <v>303</v>
      </c>
      <c r="AA805">
        <v>257</v>
      </c>
      <c r="AB805">
        <f t="shared" si="111"/>
        <v>179</v>
      </c>
      <c r="AC805">
        <v>101</v>
      </c>
    </row>
    <row r="806" spans="1:29" x14ac:dyDescent="0.25">
      <c r="A806" t="s">
        <v>813</v>
      </c>
      <c r="B806">
        <v>551</v>
      </c>
      <c r="C806">
        <v>493</v>
      </c>
      <c r="D806">
        <v>409</v>
      </c>
      <c r="E806">
        <f t="shared" si="104"/>
        <v>351</v>
      </c>
      <c r="F806">
        <v>293</v>
      </c>
      <c r="G806">
        <f t="shared" si="105"/>
        <v>201</v>
      </c>
      <c r="H806">
        <v>108</v>
      </c>
      <c r="I806">
        <v>551</v>
      </c>
      <c r="J806">
        <v>493</v>
      </c>
      <c r="K806">
        <v>409</v>
      </c>
      <c r="L806">
        <f t="shared" si="106"/>
        <v>351</v>
      </c>
      <c r="M806">
        <v>293</v>
      </c>
      <c r="N806">
        <f t="shared" si="107"/>
        <v>201</v>
      </c>
      <c r="O806">
        <v>108</v>
      </c>
      <c r="P806">
        <v>413</v>
      </c>
      <c r="Q806">
        <v>378</v>
      </c>
      <c r="R806">
        <v>320</v>
      </c>
      <c r="S806">
        <f t="shared" si="108"/>
        <v>279</v>
      </c>
      <c r="T806">
        <v>238</v>
      </c>
      <c r="U806">
        <f t="shared" si="109"/>
        <v>166</v>
      </c>
      <c r="V806">
        <v>94</v>
      </c>
      <c r="W806">
        <v>413</v>
      </c>
      <c r="X806">
        <v>378</v>
      </c>
      <c r="Y806">
        <v>320</v>
      </c>
      <c r="Z806">
        <f t="shared" si="110"/>
        <v>279</v>
      </c>
      <c r="AA806">
        <v>238</v>
      </c>
      <c r="AB806">
        <f t="shared" si="111"/>
        <v>166</v>
      </c>
      <c r="AC806">
        <v>94</v>
      </c>
    </row>
    <row r="807" spans="1:29" x14ac:dyDescent="0.25">
      <c r="A807" t="s">
        <v>814</v>
      </c>
      <c r="B807">
        <v>495</v>
      </c>
      <c r="C807">
        <v>446</v>
      </c>
      <c r="D807">
        <v>371</v>
      </c>
      <c r="E807">
        <f t="shared" si="104"/>
        <v>320</v>
      </c>
      <c r="F807">
        <v>268</v>
      </c>
      <c r="G807">
        <f t="shared" si="105"/>
        <v>184</v>
      </c>
      <c r="H807">
        <v>100</v>
      </c>
      <c r="I807">
        <v>495</v>
      </c>
      <c r="J807">
        <v>446</v>
      </c>
      <c r="K807">
        <v>371</v>
      </c>
      <c r="L807">
        <f t="shared" si="106"/>
        <v>320</v>
      </c>
      <c r="M807">
        <v>268</v>
      </c>
      <c r="N807">
        <f t="shared" si="107"/>
        <v>184</v>
      </c>
      <c r="O807">
        <v>100</v>
      </c>
      <c r="P807">
        <v>371</v>
      </c>
      <c r="Q807">
        <v>341</v>
      </c>
      <c r="R807">
        <v>291</v>
      </c>
      <c r="S807">
        <f t="shared" si="108"/>
        <v>255</v>
      </c>
      <c r="T807">
        <v>218</v>
      </c>
      <c r="U807">
        <f t="shared" si="109"/>
        <v>153</v>
      </c>
      <c r="V807">
        <v>87</v>
      </c>
      <c r="W807">
        <v>371</v>
      </c>
      <c r="X807">
        <v>341</v>
      </c>
      <c r="Y807">
        <v>291</v>
      </c>
      <c r="Z807">
        <f t="shared" si="110"/>
        <v>255</v>
      </c>
      <c r="AA807">
        <v>218</v>
      </c>
      <c r="AB807">
        <f t="shared" si="111"/>
        <v>153</v>
      </c>
      <c r="AC807">
        <v>87</v>
      </c>
    </row>
    <row r="808" spans="1:29" x14ac:dyDescent="0.25">
      <c r="A808" t="s">
        <v>815</v>
      </c>
      <c r="B808">
        <v>435</v>
      </c>
      <c r="C808">
        <v>395</v>
      </c>
      <c r="D808">
        <v>331</v>
      </c>
      <c r="E808">
        <f t="shared" si="104"/>
        <v>287</v>
      </c>
      <c r="F808">
        <v>242</v>
      </c>
      <c r="G808">
        <f t="shared" si="105"/>
        <v>166</v>
      </c>
      <c r="H808">
        <v>90</v>
      </c>
      <c r="I808">
        <v>435</v>
      </c>
      <c r="J808">
        <v>395</v>
      </c>
      <c r="K808">
        <v>331</v>
      </c>
      <c r="L808">
        <f t="shared" si="106"/>
        <v>287</v>
      </c>
      <c r="M808">
        <v>242</v>
      </c>
      <c r="N808">
        <f t="shared" si="107"/>
        <v>166</v>
      </c>
      <c r="O808">
        <v>90</v>
      </c>
      <c r="P808">
        <v>326</v>
      </c>
      <c r="Q808">
        <v>302</v>
      </c>
      <c r="R808">
        <v>259</v>
      </c>
      <c r="S808">
        <f t="shared" si="108"/>
        <v>228</v>
      </c>
      <c r="T808">
        <v>197</v>
      </c>
      <c r="U808">
        <f t="shared" si="109"/>
        <v>138</v>
      </c>
      <c r="V808">
        <v>78</v>
      </c>
      <c r="W808">
        <v>326</v>
      </c>
      <c r="X808">
        <v>302</v>
      </c>
      <c r="Y808">
        <v>259</v>
      </c>
      <c r="Z808">
        <f t="shared" si="110"/>
        <v>228</v>
      </c>
      <c r="AA808">
        <v>197</v>
      </c>
      <c r="AB808">
        <f t="shared" si="111"/>
        <v>138</v>
      </c>
      <c r="AC808">
        <v>78</v>
      </c>
    </row>
    <row r="809" spans="1:29" x14ac:dyDescent="0.25">
      <c r="A809" t="s">
        <v>816</v>
      </c>
      <c r="B809">
        <v>539</v>
      </c>
      <c r="C809">
        <v>483</v>
      </c>
      <c r="D809">
        <v>400</v>
      </c>
      <c r="E809">
        <f t="shared" si="104"/>
        <v>343</v>
      </c>
      <c r="F809">
        <v>286</v>
      </c>
      <c r="G809">
        <f t="shared" si="105"/>
        <v>196</v>
      </c>
      <c r="H809">
        <v>106</v>
      </c>
      <c r="I809">
        <v>539</v>
      </c>
      <c r="J809">
        <v>483</v>
      </c>
      <c r="K809">
        <v>400</v>
      </c>
      <c r="L809">
        <f t="shared" si="106"/>
        <v>343</v>
      </c>
      <c r="M809">
        <v>286</v>
      </c>
      <c r="N809">
        <f t="shared" si="107"/>
        <v>196</v>
      </c>
      <c r="O809">
        <v>106</v>
      </c>
      <c r="P809">
        <v>404</v>
      </c>
      <c r="Q809">
        <v>370</v>
      </c>
      <c r="R809">
        <v>313</v>
      </c>
      <c r="S809">
        <f t="shared" si="108"/>
        <v>273</v>
      </c>
      <c r="T809">
        <v>232</v>
      </c>
      <c r="U809">
        <f t="shared" si="109"/>
        <v>162</v>
      </c>
      <c r="V809">
        <v>92</v>
      </c>
      <c r="W809">
        <v>404</v>
      </c>
      <c r="X809">
        <v>370</v>
      </c>
      <c r="Y809">
        <v>313</v>
      </c>
      <c r="Z809">
        <f t="shared" si="110"/>
        <v>273</v>
      </c>
      <c r="AA809">
        <v>232</v>
      </c>
      <c r="AB809">
        <f t="shared" si="111"/>
        <v>162</v>
      </c>
      <c r="AC809">
        <v>92</v>
      </c>
    </row>
    <row r="810" spans="1:29" x14ac:dyDescent="0.25">
      <c r="A810" t="s">
        <v>817</v>
      </c>
      <c r="B810">
        <v>483</v>
      </c>
      <c r="C810">
        <v>435</v>
      </c>
      <c r="D810">
        <v>363</v>
      </c>
      <c r="E810">
        <f t="shared" si="104"/>
        <v>313</v>
      </c>
      <c r="F810">
        <v>262</v>
      </c>
      <c r="G810">
        <f t="shared" si="105"/>
        <v>180</v>
      </c>
      <c r="H810">
        <v>97</v>
      </c>
      <c r="I810">
        <v>483</v>
      </c>
      <c r="J810">
        <v>435</v>
      </c>
      <c r="K810">
        <v>363</v>
      </c>
      <c r="L810">
        <f t="shared" si="106"/>
        <v>313</v>
      </c>
      <c r="M810">
        <v>262</v>
      </c>
      <c r="N810">
        <f t="shared" si="107"/>
        <v>180</v>
      </c>
      <c r="O810">
        <v>97</v>
      </c>
      <c r="P810">
        <v>362</v>
      </c>
      <c r="Q810">
        <v>333</v>
      </c>
      <c r="R810">
        <v>284</v>
      </c>
      <c r="S810">
        <f t="shared" si="108"/>
        <v>249</v>
      </c>
      <c r="T810">
        <v>213</v>
      </c>
      <c r="U810">
        <f t="shared" si="109"/>
        <v>149</v>
      </c>
      <c r="V810">
        <v>85</v>
      </c>
      <c r="W810">
        <v>362</v>
      </c>
      <c r="X810">
        <v>333</v>
      </c>
      <c r="Y810">
        <v>284</v>
      </c>
      <c r="Z810">
        <f t="shared" si="110"/>
        <v>249</v>
      </c>
      <c r="AA810">
        <v>213</v>
      </c>
      <c r="AB810">
        <f t="shared" si="111"/>
        <v>149</v>
      </c>
      <c r="AC810">
        <v>85</v>
      </c>
    </row>
    <row r="811" spans="1:29" x14ac:dyDescent="0.25">
      <c r="A811" t="s">
        <v>818</v>
      </c>
      <c r="B811">
        <v>426</v>
      </c>
      <c r="C811">
        <v>386</v>
      </c>
      <c r="D811">
        <v>324</v>
      </c>
      <c r="E811">
        <f t="shared" si="104"/>
        <v>281</v>
      </c>
      <c r="F811">
        <v>237</v>
      </c>
      <c r="G811">
        <f t="shared" si="105"/>
        <v>163</v>
      </c>
      <c r="H811">
        <v>89</v>
      </c>
      <c r="I811">
        <v>426</v>
      </c>
      <c r="J811">
        <v>386</v>
      </c>
      <c r="K811">
        <v>324</v>
      </c>
      <c r="L811">
        <f t="shared" si="106"/>
        <v>281</v>
      </c>
      <c r="M811">
        <v>237</v>
      </c>
      <c r="N811">
        <f t="shared" si="107"/>
        <v>163</v>
      </c>
      <c r="O811">
        <v>89</v>
      </c>
      <c r="P811">
        <v>319</v>
      </c>
      <c r="Q811">
        <v>295</v>
      </c>
      <c r="R811">
        <v>253</v>
      </c>
      <c r="S811">
        <f t="shared" si="108"/>
        <v>223</v>
      </c>
      <c r="T811">
        <v>193</v>
      </c>
      <c r="U811">
        <f t="shared" si="109"/>
        <v>136</v>
      </c>
      <c r="V811">
        <v>78</v>
      </c>
      <c r="W811">
        <v>319</v>
      </c>
      <c r="X811">
        <v>295</v>
      </c>
      <c r="Y811">
        <v>253</v>
      </c>
      <c r="Z811">
        <f t="shared" si="110"/>
        <v>223</v>
      </c>
      <c r="AA811">
        <v>193</v>
      </c>
      <c r="AB811">
        <f t="shared" si="111"/>
        <v>136</v>
      </c>
      <c r="AC811">
        <v>78</v>
      </c>
    </row>
    <row r="812" spans="1:29" x14ac:dyDescent="0.25">
      <c r="A812" t="s">
        <v>819</v>
      </c>
      <c r="B812">
        <v>2494</v>
      </c>
      <c r="C812">
        <v>2152</v>
      </c>
      <c r="D812">
        <v>1733</v>
      </c>
      <c r="E812">
        <f t="shared" si="104"/>
        <v>1484</v>
      </c>
      <c r="F812">
        <v>1234</v>
      </c>
      <c r="G812">
        <f t="shared" si="105"/>
        <v>864</v>
      </c>
      <c r="H812">
        <v>493</v>
      </c>
      <c r="I812">
        <v>1432</v>
      </c>
      <c r="J812">
        <v>1231</v>
      </c>
      <c r="K812">
        <v>988</v>
      </c>
      <c r="L812">
        <f t="shared" si="106"/>
        <v>845</v>
      </c>
      <c r="M812">
        <v>702</v>
      </c>
      <c r="N812">
        <f t="shared" si="107"/>
        <v>491</v>
      </c>
      <c r="O812">
        <v>280</v>
      </c>
      <c r="P812">
        <v>1870</v>
      </c>
      <c r="Q812">
        <v>1646</v>
      </c>
      <c r="R812">
        <v>1356</v>
      </c>
      <c r="S812">
        <f t="shared" si="108"/>
        <v>1179</v>
      </c>
      <c r="T812">
        <v>1002</v>
      </c>
      <c r="U812">
        <f t="shared" si="109"/>
        <v>716</v>
      </c>
      <c r="V812">
        <v>429</v>
      </c>
      <c r="W812">
        <v>1074</v>
      </c>
      <c r="X812">
        <v>942</v>
      </c>
      <c r="Y812">
        <v>773</v>
      </c>
      <c r="Z812">
        <f t="shared" si="110"/>
        <v>672</v>
      </c>
      <c r="AA812">
        <v>570</v>
      </c>
      <c r="AB812">
        <f t="shared" si="111"/>
        <v>407</v>
      </c>
      <c r="AC812">
        <v>243</v>
      </c>
    </row>
    <row r="813" spans="1:29" x14ac:dyDescent="0.25">
      <c r="A813" t="s">
        <v>820</v>
      </c>
      <c r="B813">
        <v>2389</v>
      </c>
      <c r="C813">
        <v>2067</v>
      </c>
      <c r="D813">
        <v>1667</v>
      </c>
      <c r="E813">
        <f t="shared" si="104"/>
        <v>1427</v>
      </c>
      <c r="F813">
        <v>1187</v>
      </c>
      <c r="G813">
        <f t="shared" si="105"/>
        <v>831</v>
      </c>
      <c r="H813">
        <v>474</v>
      </c>
      <c r="I813">
        <v>1385</v>
      </c>
      <c r="J813">
        <v>1193</v>
      </c>
      <c r="K813">
        <v>958</v>
      </c>
      <c r="L813">
        <f t="shared" si="106"/>
        <v>819</v>
      </c>
      <c r="M813">
        <v>679</v>
      </c>
      <c r="N813">
        <f t="shared" si="107"/>
        <v>475</v>
      </c>
      <c r="O813">
        <v>270</v>
      </c>
      <c r="P813">
        <v>1791</v>
      </c>
      <c r="Q813">
        <v>1581</v>
      </c>
      <c r="R813">
        <v>1305</v>
      </c>
      <c r="S813">
        <f t="shared" si="108"/>
        <v>1135</v>
      </c>
      <c r="T813">
        <v>965</v>
      </c>
      <c r="U813">
        <f t="shared" si="109"/>
        <v>689</v>
      </c>
      <c r="V813">
        <v>412</v>
      </c>
      <c r="W813">
        <v>1039</v>
      </c>
      <c r="X813">
        <v>913</v>
      </c>
      <c r="Y813">
        <v>750</v>
      </c>
      <c r="Z813">
        <f t="shared" si="110"/>
        <v>651</v>
      </c>
      <c r="AA813">
        <v>552</v>
      </c>
      <c r="AB813">
        <f t="shared" si="111"/>
        <v>394</v>
      </c>
      <c r="AC813">
        <v>235</v>
      </c>
    </row>
    <row r="814" spans="1:29" x14ac:dyDescent="0.25">
      <c r="A814" t="s">
        <v>821</v>
      </c>
      <c r="B814">
        <v>2284</v>
      </c>
      <c r="C814">
        <v>1981</v>
      </c>
      <c r="D814">
        <v>1600</v>
      </c>
      <c r="E814">
        <f t="shared" si="104"/>
        <v>1370</v>
      </c>
      <c r="F814">
        <v>1140</v>
      </c>
      <c r="G814">
        <f t="shared" si="105"/>
        <v>797</v>
      </c>
      <c r="H814">
        <v>454</v>
      </c>
      <c r="I814">
        <v>1340</v>
      </c>
      <c r="J814">
        <v>1156</v>
      </c>
      <c r="K814">
        <v>927</v>
      </c>
      <c r="L814">
        <f t="shared" si="106"/>
        <v>792</v>
      </c>
      <c r="M814">
        <v>657</v>
      </c>
      <c r="N814">
        <f t="shared" si="107"/>
        <v>459</v>
      </c>
      <c r="O814">
        <v>260</v>
      </c>
      <c r="P814">
        <v>1712</v>
      </c>
      <c r="Q814">
        <v>1515</v>
      </c>
      <c r="R814">
        <v>1253</v>
      </c>
      <c r="S814">
        <f t="shared" si="108"/>
        <v>1090</v>
      </c>
      <c r="T814">
        <v>926</v>
      </c>
      <c r="U814">
        <f t="shared" si="109"/>
        <v>661</v>
      </c>
      <c r="V814">
        <v>396</v>
      </c>
      <c r="W814">
        <v>1004</v>
      </c>
      <c r="X814">
        <v>884</v>
      </c>
      <c r="Y814">
        <v>726</v>
      </c>
      <c r="Z814">
        <f t="shared" si="110"/>
        <v>630</v>
      </c>
      <c r="AA814">
        <v>534</v>
      </c>
      <c r="AB814">
        <f t="shared" si="111"/>
        <v>381</v>
      </c>
      <c r="AC814">
        <v>227</v>
      </c>
    </row>
    <row r="815" spans="1:29" x14ac:dyDescent="0.25">
      <c r="A815" t="s">
        <v>822</v>
      </c>
      <c r="B815">
        <v>2175</v>
      </c>
      <c r="C815">
        <v>1892</v>
      </c>
      <c r="D815">
        <v>1532</v>
      </c>
      <c r="E815">
        <f t="shared" si="104"/>
        <v>1312</v>
      </c>
      <c r="F815">
        <v>1091</v>
      </c>
      <c r="G815">
        <f t="shared" si="105"/>
        <v>762</v>
      </c>
      <c r="H815">
        <v>433</v>
      </c>
      <c r="I815">
        <v>1294</v>
      </c>
      <c r="J815">
        <v>1118</v>
      </c>
      <c r="K815">
        <v>899</v>
      </c>
      <c r="L815">
        <f t="shared" si="106"/>
        <v>768</v>
      </c>
      <c r="M815">
        <v>636</v>
      </c>
      <c r="N815">
        <f t="shared" si="107"/>
        <v>444</v>
      </c>
      <c r="O815">
        <v>251</v>
      </c>
      <c r="P815">
        <v>1631</v>
      </c>
      <c r="Q815">
        <v>1447</v>
      </c>
      <c r="R815">
        <v>1199</v>
      </c>
      <c r="S815">
        <f t="shared" si="108"/>
        <v>1043</v>
      </c>
      <c r="T815">
        <v>886</v>
      </c>
      <c r="U815">
        <f t="shared" si="109"/>
        <v>632</v>
      </c>
      <c r="V815">
        <v>377</v>
      </c>
      <c r="W815">
        <v>970</v>
      </c>
      <c r="X815">
        <v>855</v>
      </c>
      <c r="Y815">
        <v>704</v>
      </c>
      <c r="Z815">
        <f t="shared" si="110"/>
        <v>610</v>
      </c>
      <c r="AA815">
        <v>516</v>
      </c>
      <c r="AB815">
        <f t="shared" si="111"/>
        <v>367</v>
      </c>
      <c r="AC815">
        <v>218</v>
      </c>
    </row>
    <row r="816" spans="1:29" x14ac:dyDescent="0.25">
      <c r="A816" t="s">
        <v>823</v>
      </c>
      <c r="B816">
        <v>2063</v>
      </c>
      <c r="C816">
        <v>1799</v>
      </c>
      <c r="D816">
        <v>1461</v>
      </c>
      <c r="E816">
        <f t="shared" si="104"/>
        <v>1251</v>
      </c>
      <c r="F816">
        <v>1040</v>
      </c>
      <c r="G816">
        <f t="shared" si="105"/>
        <v>726</v>
      </c>
      <c r="H816">
        <v>412</v>
      </c>
      <c r="I816">
        <v>1250</v>
      </c>
      <c r="J816">
        <v>1080</v>
      </c>
      <c r="K816">
        <v>869</v>
      </c>
      <c r="L816">
        <f t="shared" si="106"/>
        <v>741</v>
      </c>
      <c r="M816">
        <v>613</v>
      </c>
      <c r="N816">
        <f t="shared" si="107"/>
        <v>427</v>
      </c>
      <c r="O816">
        <v>241</v>
      </c>
      <c r="P816">
        <v>1546</v>
      </c>
      <c r="Q816">
        <v>1377</v>
      </c>
      <c r="R816">
        <v>1143</v>
      </c>
      <c r="S816">
        <f t="shared" si="108"/>
        <v>994</v>
      </c>
      <c r="T816">
        <v>845</v>
      </c>
      <c r="U816">
        <f t="shared" si="109"/>
        <v>602</v>
      </c>
      <c r="V816">
        <v>359</v>
      </c>
      <c r="W816">
        <v>937</v>
      </c>
      <c r="X816">
        <v>827</v>
      </c>
      <c r="Y816">
        <v>680</v>
      </c>
      <c r="Z816">
        <f t="shared" si="110"/>
        <v>589</v>
      </c>
      <c r="AA816">
        <v>498</v>
      </c>
      <c r="AB816">
        <f t="shared" si="111"/>
        <v>354</v>
      </c>
      <c r="AC816">
        <v>210</v>
      </c>
    </row>
    <row r="817" spans="1:29" x14ac:dyDescent="0.25">
      <c r="A817" t="s">
        <v>824</v>
      </c>
      <c r="B817">
        <v>1946</v>
      </c>
      <c r="C817">
        <v>1704</v>
      </c>
      <c r="D817">
        <v>1386</v>
      </c>
      <c r="E817">
        <f t="shared" si="104"/>
        <v>1187</v>
      </c>
      <c r="F817">
        <v>988</v>
      </c>
      <c r="G817">
        <f t="shared" si="105"/>
        <v>689</v>
      </c>
      <c r="H817">
        <v>390</v>
      </c>
      <c r="I817">
        <v>1204</v>
      </c>
      <c r="J817">
        <v>1043</v>
      </c>
      <c r="K817">
        <v>840</v>
      </c>
      <c r="L817">
        <f t="shared" si="106"/>
        <v>716</v>
      </c>
      <c r="M817">
        <v>592</v>
      </c>
      <c r="N817">
        <f t="shared" si="107"/>
        <v>412</v>
      </c>
      <c r="O817">
        <v>231</v>
      </c>
      <c r="P817">
        <v>1459</v>
      </c>
      <c r="Q817">
        <v>1304</v>
      </c>
      <c r="R817">
        <v>1085</v>
      </c>
      <c r="S817">
        <f t="shared" si="108"/>
        <v>944</v>
      </c>
      <c r="T817">
        <v>802</v>
      </c>
      <c r="U817">
        <f t="shared" si="109"/>
        <v>571</v>
      </c>
      <c r="V817">
        <v>340</v>
      </c>
      <c r="W817">
        <v>903</v>
      </c>
      <c r="X817">
        <v>798</v>
      </c>
      <c r="Y817">
        <v>657</v>
      </c>
      <c r="Z817">
        <f t="shared" si="110"/>
        <v>569</v>
      </c>
      <c r="AA817">
        <v>480</v>
      </c>
      <c r="AB817">
        <f t="shared" si="111"/>
        <v>341</v>
      </c>
      <c r="AC817">
        <v>202</v>
      </c>
    </row>
    <row r="818" spans="1:29" x14ac:dyDescent="0.25">
      <c r="A818" t="s">
        <v>825</v>
      </c>
      <c r="B818">
        <v>1825</v>
      </c>
      <c r="C818">
        <v>1602</v>
      </c>
      <c r="D818">
        <v>1308</v>
      </c>
      <c r="E818">
        <f t="shared" si="104"/>
        <v>1121</v>
      </c>
      <c r="F818">
        <v>933</v>
      </c>
      <c r="G818">
        <f t="shared" si="105"/>
        <v>650</v>
      </c>
      <c r="H818">
        <v>367</v>
      </c>
      <c r="I818">
        <v>1159</v>
      </c>
      <c r="J818">
        <v>1005</v>
      </c>
      <c r="K818">
        <v>810</v>
      </c>
      <c r="L818">
        <f t="shared" si="106"/>
        <v>691</v>
      </c>
      <c r="M818">
        <v>571</v>
      </c>
      <c r="N818">
        <f t="shared" si="107"/>
        <v>396</v>
      </c>
      <c r="O818">
        <v>221</v>
      </c>
      <c r="P818">
        <v>1368</v>
      </c>
      <c r="Q818">
        <v>1226</v>
      </c>
      <c r="R818">
        <v>1024</v>
      </c>
      <c r="S818">
        <f t="shared" si="108"/>
        <v>891</v>
      </c>
      <c r="T818">
        <v>758</v>
      </c>
      <c r="U818">
        <f t="shared" si="109"/>
        <v>539</v>
      </c>
      <c r="V818">
        <v>320</v>
      </c>
      <c r="W818">
        <v>869</v>
      </c>
      <c r="X818">
        <v>769</v>
      </c>
      <c r="Y818">
        <v>634</v>
      </c>
      <c r="Z818">
        <f t="shared" si="110"/>
        <v>549</v>
      </c>
      <c r="AA818">
        <v>464</v>
      </c>
      <c r="AB818">
        <f t="shared" si="111"/>
        <v>329</v>
      </c>
      <c r="AC818">
        <v>193</v>
      </c>
    </row>
    <row r="819" spans="1:29" x14ac:dyDescent="0.25">
      <c r="A819" t="s">
        <v>826</v>
      </c>
      <c r="B819">
        <v>2390</v>
      </c>
      <c r="C819">
        <v>2065</v>
      </c>
      <c r="D819">
        <v>1664</v>
      </c>
      <c r="E819">
        <f t="shared" si="104"/>
        <v>1423</v>
      </c>
      <c r="F819">
        <v>1182</v>
      </c>
      <c r="G819">
        <f t="shared" si="105"/>
        <v>826</v>
      </c>
      <c r="H819">
        <v>470</v>
      </c>
      <c r="I819">
        <v>1386</v>
      </c>
      <c r="J819">
        <v>1192</v>
      </c>
      <c r="K819">
        <v>957</v>
      </c>
      <c r="L819">
        <f t="shared" si="106"/>
        <v>817</v>
      </c>
      <c r="M819">
        <v>677</v>
      </c>
      <c r="N819">
        <f t="shared" si="107"/>
        <v>473</v>
      </c>
      <c r="O819">
        <v>268</v>
      </c>
      <c r="P819">
        <v>1792</v>
      </c>
      <c r="Q819">
        <v>1580</v>
      </c>
      <c r="R819">
        <v>1302</v>
      </c>
      <c r="S819">
        <f t="shared" si="108"/>
        <v>1131</v>
      </c>
      <c r="T819">
        <v>960</v>
      </c>
      <c r="U819">
        <f t="shared" si="109"/>
        <v>685</v>
      </c>
      <c r="V819">
        <v>410</v>
      </c>
      <c r="W819">
        <v>1039</v>
      </c>
      <c r="X819">
        <v>912</v>
      </c>
      <c r="Y819">
        <v>749</v>
      </c>
      <c r="Z819">
        <f t="shared" si="110"/>
        <v>650</v>
      </c>
      <c r="AA819">
        <v>550</v>
      </c>
      <c r="AB819">
        <f t="shared" si="111"/>
        <v>392</v>
      </c>
      <c r="AC819">
        <v>234</v>
      </c>
    </row>
    <row r="820" spans="1:29" x14ac:dyDescent="0.25">
      <c r="A820" t="s">
        <v>827</v>
      </c>
      <c r="B820">
        <v>2282</v>
      </c>
      <c r="C820">
        <v>1977</v>
      </c>
      <c r="D820">
        <v>1595</v>
      </c>
      <c r="E820">
        <f t="shared" si="104"/>
        <v>1364</v>
      </c>
      <c r="F820">
        <v>1133</v>
      </c>
      <c r="G820">
        <f t="shared" si="105"/>
        <v>792</v>
      </c>
      <c r="H820">
        <v>450</v>
      </c>
      <c r="I820">
        <v>1340</v>
      </c>
      <c r="J820">
        <v>1153</v>
      </c>
      <c r="K820">
        <v>926</v>
      </c>
      <c r="L820">
        <f t="shared" si="106"/>
        <v>790</v>
      </c>
      <c r="M820">
        <v>654</v>
      </c>
      <c r="N820">
        <f t="shared" si="107"/>
        <v>457</v>
      </c>
      <c r="O820">
        <v>259</v>
      </c>
      <c r="P820">
        <v>1711</v>
      </c>
      <c r="Q820">
        <v>1513</v>
      </c>
      <c r="R820">
        <v>1249</v>
      </c>
      <c r="S820">
        <f t="shared" si="108"/>
        <v>1085</v>
      </c>
      <c r="T820">
        <v>921</v>
      </c>
      <c r="U820">
        <f t="shared" si="109"/>
        <v>657</v>
      </c>
      <c r="V820">
        <v>392</v>
      </c>
      <c r="W820">
        <v>1005</v>
      </c>
      <c r="X820">
        <v>883</v>
      </c>
      <c r="Y820">
        <v>725</v>
      </c>
      <c r="Z820">
        <f t="shared" si="110"/>
        <v>629</v>
      </c>
      <c r="AA820">
        <v>532</v>
      </c>
      <c r="AB820">
        <f t="shared" si="111"/>
        <v>379</v>
      </c>
      <c r="AC820">
        <v>225</v>
      </c>
    </row>
    <row r="821" spans="1:29" x14ac:dyDescent="0.25">
      <c r="A821" t="s">
        <v>828</v>
      </c>
      <c r="B821">
        <v>2173</v>
      </c>
      <c r="C821">
        <v>1887</v>
      </c>
      <c r="D821">
        <v>1527</v>
      </c>
      <c r="E821">
        <f t="shared" si="104"/>
        <v>1306</v>
      </c>
      <c r="F821">
        <v>1084</v>
      </c>
      <c r="G821">
        <f t="shared" si="105"/>
        <v>757</v>
      </c>
      <c r="H821">
        <v>429</v>
      </c>
      <c r="I821">
        <v>1294</v>
      </c>
      <c r="J821">
        <v>1116</v>
      </c>
      <c r="K821">
        <v>897</v>
      </c>
      <c r="L821">
        <f t="shared" si="106"/>
        <v>765</v>
      </c>
      <c r="M821">
        <v>633</v>
      </c>
      <c r="N821">
        <f t="shared" si="107"/>
        <v>441</v>
      </c>
      <c r="O821">
        <v>249</v>
      </c>
      <c r="P821">
        <v>1629</v>
      </c>
      <c r="Q821">
        <v>1444</v>
      </c>
      <c r="R821">
        <v>1196</v>
      </c>
      <c r="S821">
        <f t="shared" si="108"/>
        <v>1039</v>
      </c>
      <c r="T821">
        <v>881</v>
      </c>
      <c r="U821">
        <f t="shared" si="109"/>
        <v>628</v>
      </c>
      <c r="V821">
        <v>374</v>
      </c>
      <c r="W821">
        <v>970</v>
      </c>
      <c r="X821">
        <v>854</v>
      </c>
      <c r="Y821">
        <v>702</v>
      </c>
      <c r="Z821">
        <f t="shared" si="110"/>
        <v>608</v>
      </c>
      <c r="AA821">
        <v>514</v>
      </c>
      <c r="AB821">
        <f t="shared" si="111"/>
        <v>366</v>
      </c>
      <c r="AC821">
        <v>217</v>
      </c>
    </row>
    <row r="822" spans="1:29" x14ac:dyDescent="0.25">
      <c r="A822" t="s">
        <v>829</v>
      </c>
      <c r="B822">
        <v>2060</v>
      </c>
      <c r="C822">
        <v>1795</v>
      </c>
      <c r="D822">
        <v>1456</v>
      </c>
      <c r="E822">
        <f t="shared" si="104"/>
        <v>1245</v>
      </c>
      <c r="F822">
        <v>1034</v>
      </c>
      <c r="G822">
        <f t="shared" si="105"/>
        <v>722</v>
      </c>
      <c r="H822">
        <v>409</v>
      </c>
      <c r="I822">
        <v>1249</v>
      </c>
      <c r="J822">
        <v>1079</v>
      </c>
      <c r="K822">
        <v>867</v>
      </c>
      <c r="L822">
        <f t="shared" si="106"/>
        <v>739</v>
      </c>
      <c r="M822">
        <v>610</v>
      </c>
      <c r="N822">
        <f t="shared" si="107"/>
        <v>425</v>
      </c>
      <c r="O822">
        <v>239</v>
      </c>
      <c r="P822">
        <v>1544</v>
      </c>
      <c r="Q822">
        <v>1373</v>
      </c>
      <c r="R822">
        <v>1140</v>
      </c>
      <c r="S822">
        <f t="shared" si="108"/>
        <v>990</v>
      </c>
      <c r="T822">
        <v>840</v>
      </c>
      <c r="U822">
        <f t="shared" si="109"/>
        <v>598</v>
      </c>
      <c r="V822">
        <v>356</v>
      </c>
      <c r="W822">
        <v>936</v>
      </c>
      <c r="X822">
        <v>826</v>
      </c>
      <c r="Y822">
        <v>679</v>
      </c>
      <c r="Z822">
        <f t="shared" si="110"/>
        <v>588</v>
      </c>
      <c r="AA822">
        <v>496</v>
      </c>
      <c r="AB822">
        <f t="shared" si="111"/>
        <v>352</v>
      </c>
      <c r="AC822">
        <v>208</v>
      </c>
    </row>
    <row r="823" spans="1:29" x14ac:dyDescent="0.25">
      <c r="A823" t="s">
        <v>830</v>
      </c>
      <c r="B823">
        <v>1942</v>
      </c>
      <c r="C823">
        <v>1698</v>
      </c>
      <c r="D823">
        <v>1381</v>
      </c>
      <c r="E823">
        <f t="shared" si="104"/>
        <v>1182</v>
      </c>
      <c r="F823">
        <v>983</v>
      </c>
      <c r="G823">
        <f t="shared" si="105"/>
        <v>685</v>
      </c>
      <c r="H823">
        <v>387</v>
      </c>
      <c r="I823">
        <v>1203</v>
      </c>
      <c r="J823">
        <v>1040</v>
      </c>
      <c r="K823">
        <v>837</v>
      </c>
      <c r="L823">
        <f t="shared" si="106"/>
        <v>714</v>
      </c>
      <c r="M823">
        <v>591</v>
      </c>
      <c r="N823">
        <f t="shared" si="107"/>
        <v>411</v>
      </c>
      <c r="O823">
        <v>230</v>
      </c>
      <c r="P823">
        <v>1456</v>
      </c>
      <c r="Q823">
        <v>1299</v>
      </c>
      <c r="R823">
        <v>1081</v>
      </c>
      <c r="S823">
        <f t="shared" si="108"/>
        <v>940</v>
      </c>
      <c r="T823">
        <v>798</v>
      </c>
      <c r="U823">
        <f t="shared" si="109"/>
        <v>568</v>
      </c>
      <c r="V823">
        <v>337</v>
      </c>
      <c r="W823">
        <v>902</v>
      </c>
      <c r="X823">
        <v>796</v>
      </c>
      <c r="Y823">
        <v>655</v>
      </c>
      <c r="Z823">
        <f t="shared" si="110"/>
        <v>567</v>
      </c>
      <c r="AA823">
        <v>479</v>
      </c>
      <c r="AB823">
        <f t="shared" si="111"/>
        <v>340</v>
      </c>
      <c r="AC823">
        <v>200</v>
      </c>
    </row>
    <row r="824" spans="1:29" x14ac:dyDescent="0.25">
      <c r="A824" t="s">
        <v>831</v>
      </c>
      <c r="B824">
        <v>1820</v>
      </c>
      <c r="C824">
        <v>1597</v>
      </c>
      <c r="D824">
        <v>1302</v>
      </c>
      <c r="E824">
        <f t="shared" si="104"/>
        <v>1115</v>
      </c>
      <c r="F824">
        <v>928</v>
      </c>
      <c r="G824">
        <f t="shared" si="105"/>
        <v>647</v>
      </c>
      <c r="H824">
        <v>365</v>
      </c>
      <c r="I824">
        <v>1159</v>
      </c>
      <c r="J824">
        <v>1003</v>
      </c>
      <c r="K824">
        <v>808</v>
      </c>
      <c r="L824">
        <f t="shared" si="106"/>
        <v>688</v>
      </c>
      <c r="M824">
        <v>568</v>
      </c>
      <c r="N824">
        <f t="shared" si="107"/>
        <v>395</v>
      </c>
      <c r="O824">
        <v>221</v>
      </c>
      <c r="P824">
        <v>1364</v>
      </c>
      <c r="Q824">
        <v>1222</v>
      </c>
      <c r="R824">
        <v>1019</v>
      </c>
      <c r="S824">
        <f t="shared" si="108"/>
        <v>887</v>
      </c>
      <c r="T824">
        <v>754</v>
      </c>
      <c r="U824">
        <f t="shared" si="109"/>
        <v>536</v>
      </c>
      <c r="V824">
        <v>318</v>
      </c>
      <c r="W824">
        <v>868</v>
      </c>
      <c r="X824">
        <v>768</v>
      </c>
      <c r="Y824">
        <v>632</v>
      </c>
      <c r="Z824">
        <f t="shared" si="110"/>
        <v>547</v>
      </c>
      <c r="AA824">
        <v>462</v>
      </c>
      <c r="AB824">
        <f t="shared" si="111"/>
        <v>327</v>
      </c>
      <c r="AC824">
        <v>192</v>
      </c>
    </row>
    <row r="825" spans="1:29" x14ac:dyDescent="0.25">
      <c r="A825" t="s">
        <v>832</v>
      </c>
      <c r="B825">
        <v>1693</v>
      </c>
      <c r="C825">
        <v>1491</v>
      </c>
      <c r="D825">
        <v>1218</v>
      </c>
      <c r="E825">
        <f t="shared" si="104"/>
        <v>1044</v>
      </c>
      <c r="F825">
        <v>869</v>
      </c>
      <c r="G825">
        <f t="shared" si="105"/>
        <v>605</v>
      </c>
      <c r="H825">
        <v>340</v>
      </c>
      <c r="I825">
        <v>1112</v>
      </c>
      <c r="J825">
        <v>966</v>
      </c>
      <c r="K825">
        <v>778</v>
      </c>
      <c r="L825">
        <f t="shared" si="106"/>
        <v>662</v>
      </c>
      <c r="M825">
        <v>545</v>
      </c>
      <c r="N825">
        <f t="shared" si="107"/>
        <v>378</v>
      </c>
      <c r="O825">
        <v>211</v>
      </c>
      <c r="P825">
        <v>1269</v>
      </c>
      <c r="Q825">
        <v>1140</v>
      </c>
      <c r="R825">
        <v>953</v>
      </c>
      <c r="S825">
        <f t="shared" si="108"/>
        <v>830</v>
      </c>
      <c r="T825">
        <v>706</v>
      </c>
      <c r="U825">
        <f t="shared" si="109"/>
        <v>501</v>
      </c>
      <c r="V825">
        <v>296</v>
      </c>
      <c r="W825">
        <v>834</v>
      </c>
      <c r="X825">
        <v>738</v>
      </c>
      <c r="Y825">
        <v>608</v>
      </c>
      <c r="Z825">
        <f t="shared" si="110"/>
        <v>526</v>
      </c>
      <c r="AA825">
        <v>443</v>
      </c>
      <c r="AB825">
        <f t="shared" si="111"/>
        <v>314</v>
      </c>
      <c r="AC825">
        <v>184</v>
      </c>
    </row>
    <row r="826" spans="1:29" x14ac:dyDescent="0.25">
      <c r="A826" t="s">
        <v>833</v>
      </c>
      <c r="B826">
        <v>2282</v>
      </c>
      <c r="C826">
        <v>1975</v>
      </c>
      <c r="D826">
        <v>1592</v>
      </c>
      <c r="E826">
        <f t="shared" si="104"/>
        <v>1360</v>
      </c>
      <c r="F826">
        <v>1128</v>
      </c>
      <c r="G826">
        <f t="shared" si="105"/>
        <v>788</v>
      </c>
      <c r="H826">
        <v>447</v>
      </c>
      <c r="I826">
        <v>1340</v>
      </c>
      <c r="J826">
        <v>1153</v>
      </c>
      <c r="K826">
        <v>924</v>
      </c>
      <c r="L826">
        <f t="shared" si="106"/>
        <v>788</v>
      </c>
      <c r="M826">
        <v>652</v>
      </c>
      <c r="N826">
        <f t="shared" si="107"/>
        <v>455</v>
      </c>
      <c r="O826">
        <v>257</v>
      </c>
      <c r="P826">
        <v>1711</v>
      </c>
      <c r="Q826">
        <v>1511</v>
      </c>
      <c r="R826">
        <v>1246</v>
      </c>
      <c r="S826">
        <f t="shared" si="108"/>
        <v>1082</v>
      </c>
      <c r="T826">
        <v>917</v>
      </c>
      <c r="U826">
        <f t="shared" si="109"/>
        <v>653</v>
      </c>
      <c r="V826">
        <v>389</v>
      </c>
      <c r="W826">
        <v>1005</v>
      </c>
      <c r="X826">
        <v>882</v>
      </c>
      <c r="Y826">
        <v>723</v>
      </c>
      <c r="Z826">
        <f t="shared" si="110"/>
        <v>627</v>
      </c>
      <c r="AA826">
        <v>530</v>
      </c>
      <c r="AB826">
        <f t="shared" si="111"/>
        <v>377</v>
      </c>
      <c r="AC826">
        <v>224</v>
      </c>
    </row>
    <row r="827" spans="1:29" x14ac:dyDescent="0.25">
      <c r="A827" t="s">
        <v>834</v>
      </c>
      <c r="B827">
        <v>2170</v>
      </c>
      <c r="C827">
        <v>1884</v>
      </c>
      <c r="D827">
        <v>1521</v>
      </c>
      <c r="E827">
        <f t="shared" si="104"/>
        <v>1300</v>
      </c>
      <c r="F827">
        <v>1079</v>
      </c>
      <c r="G827">
        <f t="shared" si="105"/>
        <v>752</v>
      </c>
      <c r="H827">
        <v>425</v>
      </c>
      <c r="I827">
        <v>1293</v>
      </c>
      <c r="J827">
        <v>1114</v>
      </c>
      <c r="K827">
        <v>894</v>
      </c>
      <c r="L827">
        <f t="shared" si="106"/>
        <v>762</v>
      </c>
      <c r="M827">
        <v>630</v>
      </c>
      <c r="N827">
        <f t="shared" si="107"/>
        <v>439</v>
      </c>
      <c r="O827">
        <v>247</v>
      </c>
      <c r="P827">
        <v>1627</v>
      </c>
      <c r="Q827">
        <v>1441</v>
      </c>
      <c r="R827">
        <v>1191</v>
      </c>
      <c r="S827">
        <f t="shared" si="108"/>
        <v>1034</v>
      </c>
      <c r="T827">
        <v>877</v>
      </c>
      <c r="U827">
        <f t="shared" si="109"/>
        <v>624</v>
      </c>
      <c r="V827">
        <v>370</v>
      </c>
      <c r="W827">
        <v>970</v>
      </c>
      <c r="X827">
        <v>852</v>
      </c>
      <c r="Y827">
        <v>700</v>
      </c>
      <c r="Z827">
        <f t="shared" si="110"/>
        <v>606</v>
      </c>
      <c r="AA827">
        <v>512</v>
      </c>
      <c r="AB827">
        <f t="shared" si="111"/>
        <v>364</v>
      </c>
      <c r="AC827">
        <v>215</v>
      </c>
    </row>
    <row r="828" spans="1:29" x14ac:dyDescent="0.25">
      <c r="A828" t="s">
        <v>835</v>
      </c>
      <c r="B828">
        <v>2055</v>
      </c>
      <c r="C828">
        <v>1789</v>
      </c>
      <c r="D828">
        <v>1449</v>
      </c>
      <c r="E828">
        <f t="shared" si="104"/>
        <v>1239</v>
      </c>
      <c r="F828">
        <v>1029</v>
      </c>
      <c r="G828">
        <f t="shared" si="105"/>
        <v>717</v>
      </c>
      <c r="H828">
        <v>404</v>
      </c>
      <c r="I828">
        <v>1247</v>
      </c>
      <c r="J828">
        <v>1077</v>
      </c>
      <c r="K828">
        <v>865</v>
      </c>
      <c r="L828">
        <f t="shared" si="106"/>
        <v>737</v>
      </c>
      <c r="M828">
        <v>609</v>
      </c>
      <c r="N828">
        <f t="shared" si="107"/>
        <v>424</v>
      </c>
      <c r="O828">
        <v>238</v>
      </c>
      <c r="P828">
        <v>1541</v>
      </c>
      <c r="Q828">
        <v>1369</v>
      </c>
      <c r="R828">
        <v>1135</v>
      </c>
      <c r="S828">
        <f t="shared" si="108"/>
        <v>986</v>
      </c>
      <c r="T828">
        <v>836</v>
      </c>
      <c r="U828">
        <f t="shared" si="109"/>
        <v>594</v>
      </c>
      <c r="V828">
        <v>352</v>
      </c>
      <c r="W828">
        <v>935</v>
      </c>
      <c r="X828">
        <v>824</v>
      </c>
      <c r="Y828">
        <v>678</v>
      </c>
      <c r="Z828">
        <f t="shared" si="110"/>
        <v>587</v>
      </c>
      <c r="AA828">
        <v>495</v>
      </c>
      <c r="AB828">
        <f t="shared" si="111"/>
        <v>351</v>
      </c>
      <c r="AC828">
        <v>207</v>
      </c>
    </row>
    <row r="829" spans="1:29" x14ac:dyDescent="0.25">
      <c r="A829" t="s">
        <v>836</v>
      </c>
      <c r="B829">
        <v>1938</v>
      </c>
      <c r="C829">
        <v>1692</v>
      </c>
      <c r="D829">
        <v>1375</v>
      </c>
      <c r="E829">
        <f t="shared" si="104"/>
        <v>1176</v>
      </c>
      <c r="F829">
        <v>977</v>
      </c>
      <c r="G829">
        <f t="shared" si="105"/>
        <v>681</v>
      </c>
      <c r="H829">
        <v>384</v>
      </c>
      <c r="I829">
        <v>1201</v>
      </c>
      <c r="J829">
        <v>1038</v>
      </c>
      <c r="K829">
        <v>836</v>
      </c>
      <c r="L829">
        <f t="shared" si="106"/>
        <v>712</v>
      </c>
      <c r="M829">
        <v>588</v>
      </c>
      <c r="N829">
        <f t="shared" si="107"/>
        <v>409</v>
      </c>
      <c r="O829">
        <v>229</v>
      </c>
      <c r="P829">
        <v>1453</v>
      </c>
      <c r="Q829">
        <v>1295</v>
      </c>
      <c r="R829">
        <v>1076</v>
      </c>
      <c r="S829">
        <f t="shared" si="108"/>
        <v>935</v>
      </c>
      <c r="T829">
        <v>793</v>
      </c>
      <c r="U829">
        <f t="shared" si="109"/>
        <v>564</v>
      </c>
      <c r="V829">
        <v>334</v>
      </c>
      <c r="W829">
        <v>901</v>
      </c>
      <c r="X829">
        <v>794</v>
      </c>
      <c r="Y829">
        <v>654</v>
      </c>
      <c r="Z829">
        <f t="shared" si="110"/>
        <v>566</v>
      </c>
      <c r="AA829">
        <v>477</v>
      </c>
      <c r="AB829">
        <f t="shared" si="111"/>
        <v>338</v>
      </c>
      <c r="AC829">
        <v>199</v>
      </c>
    </row>
    <row r="830" spans="1:29" x14ac:dyDescent="0.25">
      <c r="A830" t="s">
        <v>837</v>
      </c>
      <c r="B830">
        <v>1815</v>
      </c>
      <c r="C830">
        <v>1591</v>
      </c>
      <c r="D830">
        <v>1296</v>
      </c>
      <c r="E830">
        <f t="shared" si="104"/>
        <v>1110</v>
      </c>
      <c r="F830">
        <v>923</v>
      </c>
      <c r="G830">
        <f t="shared" si="105"/>
        <v>642</v>
      </c>
      <c r="H830">
        <v>361</v>
      </c>
      <c r="I830">
        <v>1157</v>
      </c>
      <c r="J830">
        <v>1002</v>
      </c>
      <c r="K830">
        <v>806</v>
      </c>
      <c r="L830">
        <f t="shared" si="106"/>
        <v>686</v>
      </c>
      <c r="M830">
        <v>566</v>
      </c>
      <c r="N830">
        <f t="shared" si="107"/>
        <v>393</v>
      </c>
      <c r="O830">
        <v>219</v>
      </c>
      <c r="P830">
        <v>1361</v>
      </c>
      <c r="Q830">
        <v>1217</v>
      </c>
      <c r="R830">
        <v>1015</v>
      </c>
      <c r="S830">
        <f t="shared" si="108"/>
        <v>883</v>
      </c>
      <c r="T830">
        <v>750</v>
      </c>
      <c r="U830">
        <f t="shared" si="109"/>
        <v>533</v>
      </c>
      <c r="V830">
        <v>315</v>
      </c>
      <c r="W830">
        <v>867</v>
      </c>
      <c r="X830">
        <v>766</v>
      </c>
      <c r="Y830">
        <v>631</v>
      </c>
      <c r="Z830">
        <f t="shared" si="110"/>
        <v>546</v>
      </c>
      <c r="AA830">
        <v>460</v>
      </c>
      <c r="AB830">
        <f t="shared" si="111"/>
        <v>326</v>
      </c>
      <c r="AC830">
        <v>191</v>
      </c>
    </row>
    <row r="831" spans="1:29" x14ac:dyDescent="0.25">
      <c r="A831" t="s">
        <v>838</v>
      </c>
      <c r="B831">
        <v>1688</v>
      </c>
      <c r="C831">
        <v>1485</v>
      </c>
      <c r="D831">
        <v>1215</v>
      </c>
      <c r="E831">
        <f t="shared" si="104"/>
        <v>1040</v>
      </c>
      <c r="F831">
        <v>865</v>
      </c>
      <c r="G831">
        <f t="shared" si="105"/>
        <v>602</v>
      </c>
      <c r="H831">
        <v>338</v>
      </c>
      <c r="I831">
        <v>1110</v>
      </c>
      <c r="J831">
        <v>963</v>
      </c>
      <c r="K831">
        <v>777</v>
      </c>
      <c r="L831">
        <f t="shared" si="106"/>
        <v>661</v>
      </c>
      <c r="M831">
        <v>544</v>
      </c>
      <c r="N831">
        <f t="shared" si="107"/>
        <v>377</v>
      </c>
      <c r="O831">
        <v>210</v>
      </c>
      <c r="P831">
        <v>1265</v>
      </c>
      <c r="Q831">
        <v>1136</v>
      </c>
      <c r="R831">
        <v>951</v>
      </c>
      <c r="S831">
        <f t="shared" si="108"/>
        <v>827</v>
      </c>
      <c r="T831">
        <v>703</v>
      </c>
      <c r="U831">
        <f t="shared" si="109"/>
        <v>499</v>
      </c>
      <c r="V831">
        <v>294</v>
      </c>
      <c r="W831">
        <v>832</v>
      </c>
      <c r="X831">
        <v>737</v>
      </c>
      <c r="Y831">
        <v>608</v>
      </c>
      <c r="Z831">
        <f t="shared" si="110"/>
        <v>525</v>
      </c>
      <c r="AA831">
        <v>442</v>
      </c>
      <c r="AB831">
        <f t="shared" si="111"/>
        <v>312</v>
      </c>
      <c r="AC831">
        <v>182</v>
      </c>
    </row>
    <row r="832" spans="1:29" x14ac:dyDescent="0.25">
      <c r="A832" t="s">
        <v>839</v>
      </c>
      <c r="B832">
        <v>1550</v>
      </c>
      <c r="C832">
        <v>1368</v>
      </c>
      <c r="D832">
        <v>1123</v>
      </c>
      <c r="E832">
        <f t="shared" si="104"/>
        <v>962</v>
      </c>
      <c r="F832">
        <v>800</v>
      </c>
      <c r="G832">
        <f t="shared" si="105"/>
        <v>556</v>
      </c>
      <c r="H832">
        <v>311</v>
      </c>
      <c r="I832">
        <v>1062</v>
      </c>
      <c r="J832">
        <v>921</v>
      </c>
      <c r="K832">
        <v>745</v>
      </c>
      <c r="L832">
        <f t="shared" si="106"/>
        <v>634</v>
      </c>
      <c r="M832">
        <v>522</v>
      </c>
      <c r="N832">
        <f t="shared" si="107"/>
        <v>361</v>
      </c>
      <c r="O832">
        <v>199</v>
      </c>
      <c r="P832">
        <v>1162</v>
      </c>
      <c r="Q832">
        <v>1047</v>
      </c>
      <c r="R832">
        <v>879</v>
      </c>
      <c r="S832">
        <f t="shared" si="108"/>
        <v>765</v>
      </c>
      <c r="T832">
        <v>650</v>
      </c>
      <c r="U832">
        <f t="shared" si="109"/>
        <v>461</v>
      </c>
      <c r="V832">
        <v>271</v>
      </c>
      <c r="W832">
        <v>796</v>
      </c>
      <c r="X832">
        <v>705</v>
      </c>
      <c r="Y832">
        <v>583</v>
      </c>
      <c r="Z832">
        <f t="shared" si="110"/>
        <v>504</v>
      </c>
      <c r="AA832">
        <v>424</v>
      </c>
      <c r="AB832">
        <f t="shared" si="111"/>
        <v>299</v>
      </c>
      <c r="AC832">
        <v>173</v>
      </c>
    </row>
    <row r="833" spans="1:29" x14ac:dyDescent="0.25">
      <c r="A833" t="s">
        <v>840</v>
      </c>
      <c r="B833">
        <v>2169</v>
      </c>
      <c r="C833">
        <v>1880</v>
      </c>
      <c r="D833">
        <v>1516</v>
      </c>
      <c r="E833">
        <f t="shared" si="104"/>
        <v>1295</v>
      </c>
      <c r="F833">
        <v>1073</v>
      </c>
      <c r="G833">
        <f t="shared" si="105"/>
        <v>747</v>
      </c>
      <c r="H833">
        <v>421</v>
      </c>
      <c r="I833">
        <v>1292</v>
      </c>
      <c r="J833">
        <v>1113</v>
      </c>
      <c r="K833">
        <v>892</v>
      </c>
      <c r="L833">
        <f t="shared" si="106"/>
        <v>760</v>
      </c>
      <c r="M833">
        <v>628</v>
      </c>
      <c r="N833">
        <f t="shared" si="107"/>
        <v>437</v>
      </c>
      <c r="O833">
        <v>245</v>
      </c>
      <c r="P833">
        <v>1626</v>
      </c>
      <c r="Q833">
        <v>1439</v>
      </c>
      <c r="R833">
        <v>1187</v>
      </c>
      <c r="S833">
        <f t="shared" si="108"/>
        <v>1030</v>
      </c>
      <c r="T833">
        <v>872</v>
      </c>
      <c r="U833">
        <f t="shared" si="109"/>
        <v>620</v>
      </c>
      <c r="V833">
        <v>367</v>
      </c>
      <c r="W833">
        <v>969</v>
      </c>
      <c r="X833">
        <v>852</v>
      </c>
      <c r="Y833">
        <v>698</v>
      </c>
      <c r="Z833">
        <f t="shared" si="110"/>
        <v>604</v>
      </c>
      <c r="AA833">
        <v>510</v>
      </c>
      <c r="AB833">
        <f t="shared" si="111"/>
        <v>362</v>
      </c>
      <c r="AC833">
        <v>214</v>
      </c>
    </row>
    <row r="834" spans="1:29" x14ac:dyDescent="0.25">
      <c r="A834" t="s">
        <v>841</v>
      </c>
      <c r="B834">
        <v>2052</v>
      </c>
      <c r="C834">
        <v>1784</v>
      </c>
      <c r="D834">
        <v>1444</v>
      </c>
      <c r="E834">
        <f t="shared" si="104"/>
        <v>1234</v>
      </c>
      <c r="F834">
        <v>1023</v>
      </c>
      <c r="G834">
        <f t="shared" si="105"/>
        <v>712</v>
      </c>
      <c r="H834">
        <v>401</v>
      </c>
      <c r="I834">
        <v>1245</v>
      </c>
      <c r="J834">
        <v>1074</v>
      </c>
      <c r="K834">
        <v>862</v>
      </c>
      <c r="L834">
        <f t="shared" si="106"/>
        <v>735</v>
      </c>
      <c r="M834">
        <v>607</v>
      </c>
      <c r="N834">
        <f t="shared" si="107"/>
        <v>422</v>
      </c>
      <c r="O834">
        <v>236</v>
      </c>
      <c r="P834">
        <v>1538</v>
      </c>
      <c r="Q834">
        <v>1365</v>
      </c>
      <c r="R834">
        <v>1130</v>
      </c>
      <c r="S834">
        <f t="shared" si="108"/>
        <v>981</v>
      </c>
      <c r="T834">
        <v>831</v>
      </c>
      <c r="U834">
        <f t="shared" si="109"/>
        <v>590</v>
      </c>
      <c r="V834">
        <v>349</v>
      </c>
      <c r="W834">
        <v>933</v>
      </c>
      <c r="X834">
        <v>822</v>
      </c>
      <c r="Y834">
        <v>675</v>
      </c>
      <c r="Z834">
        <f t="shared" si="110"/>
        <v>584</v>
      </c>
      <c r="AA834">
        <v>493</v>
      </c>
      <c r="AB834">
        <f t="shared" si="111"/>
        <v>350</v>
      </c>
      <c r="AC834">
        <v>206</v>
      </c>
    </row>
    <row r="835" spans="1:29" x14ac:dyDescent="0.25">
      <c r="A835" t="s">
        <v>842</v>
      </c>
      <c r="B835">
        <v>1932</v>
      </c>
      <c r="C835">
        <v>1687</v>
      </c>
      <c r="D835">
        <v>1368</v>
      </c>
      <c r="E835">
        <f t="shared" si="104"/>
        <v>1169</v>
      </c>
      <c r="F835">
        <v>970</v>
      </c>
      <c r="G835">
        <f t="shared" si="105"/>
        <v>675</v>
      </c>
      <c r="H835">
        <v>379</v>
      </c>
      <c r="I835">
        <v>1200</v>
      </c>
      <c r="J835">
        <v>1037</v>
      </c>
      <c r="K835">
        <v>832</v>
      </c>
      <c r="L835">
        <f t="shared" si="106"/>
        <v>709</v>
      </c>
      <c r="M835">
        <v>585</v>
      </c>
      <c r="N835">
        <f t="shared" si="107"/>
        <v>406</v>
      </c>
      <c r="O835">
        <v>227</v>
      </c>
      <c r="P835">
        <v>1449</v>
      </c>
      <c r="Q835">
        <v>1290</v>
      </c>
      <c r="R835">
        <v>1071</v>
      </c>
      <c r="S835">
        <f t="shared" si="108"/>
        <v>930</v>
      </c>
      <c r="T835">
        <v>788</v>
      </c>
      <c r="U835">
        <f t="shared" si="109"/>
        <v>559</v>
      </c>
      <c r="V835">
        <v>330</v>
      </c>
      <c r="W835">
        <v>900</v>
      </c>
      <c r="X835">
        <v>793</v>
      </c>
      <c r="Y835">
        <v>652</v>
      </c>
      <c r="Z835">
        <f t="shared" si="110"/>
        <v>564</v>
      </c>
      <c r="AA835">
        <v>475</v>
      </c>
      <c r="AB835">
        <f t="shared" si="111"/>
        <v>337</v>
      </c>
      <c r="AC835">
        <v>198</v>
      </c>
    </row>
    <row r="836" spans="1:29" x14ac:dyDescent="0.25">
      <c r="A836" t="s">
        <v>843</v>
      </c>
      <c r="B836">
        <v>1810</v>
      </c>
      <c r="C836">
        <v>1585</v>
      </c>
      <c r="D836">
        <v>1290</v>
      </c>
      <c r="E836">
        <f t="shared" si="104"/>
        <v>1104</v>
      </c>
      <c r="F836">
        <v>917</v>
      </c>
      <c r="G836">
        <f t="shared" si="105"/>
        <v>638</v>
      </c>
      <c r="H836">
        <v>358</v>
      </c>
      <c r="I836">
        <v>1155</v>
      </c>
      <c r="J836">
        <v>998</v>
      </c>
      <c r="K836">
        <v>803</v>
      </c>
      <c r="L836">
        <f t="shared" si="106"/>
        <v>683</v>
      </c>
      <c r="M836">
        <v>563</v>
      </c>
      <c r="N836">
        <f t="shared" si="107"/>
        <v>390</v>
      </c>
      <c r="O836">
        <v>217</v>
      </c>
      <c r="P836">
        <v>1357</v>
      </c>
      <c r="Q836">
        <v>1213</v>
      </c>
      <c r="R836">
        <v>1010</v>
      </c>
      <c r="S836">
        <f t="shared" si="108"/>
        <v>878</v>
      </c>
      <c r="T836">
        <v>745</v>
      </c>
      <c r="U836">
        <f t="shared" si="109"/>
        <v>529</v>
      </c>
      <c r="V836">
        <v>312</v>
      </c>
      <c r="W836">
        <v>866</v>
      </c>
      <c r="X836">
        <v>764</v>
      </c>
      <c r="Y836">
        <v>629</v>
      </c>
      <c r="Z836">
        <f t="shared" si="110"/>
        <v>544</v>
      </c>
      <c r="AA836">
        <v>458</v>
      </c>
      <c r="AB836">
        <f t="shared" si="111"/>
        <v>324</v>
      </c>
      <c r="AC836">
        <v>189</v>
      </c>
    </row>
    <row r="837" spans="1:29" x14ac:dyDescent="0.25">
      <c r="A837" t="s">
        <v>844</v>
      </c>
      <c r="B837">
        <v>1682</v>
      </c>
      <c r="C837">
        <v>1478</v>
      </c>
      <c r="D837">
        <v>1207</v>
      </c>
      <c r="E837">
        <f t="shared" ref="E837:E900" si="112">ROUND((D837+F837)/2,0)</f>
        <v>1033</v>
      </c>
      <c r="F837">
        <v>859</v>
      </c>
      <c r="G837">
        <f t="shared" ref="G837:G900" si="113">ROUND((F837+H837)/2,0)</f>
        <v>597</v>
      </c>
      <c r="H837">
        <v>335</v>
      </c>
      <c r="I837">
        <v>1108</v>
      </c>
      <c r="J837">
        <v>961</v>
      </c>
      <c r="K837">
        <v>774</v>
      </c>
      <c r="L837">
        <f t="shared" ref="L837:L900" si="114">ROUND((K837+M837)/2,0)</f>
        <v>659</v>
      </c>
      <c r="M837">
        <v>543</v>
      </c>
      <c r="N837">
        <f t="shared" ref="N837:N900" si="115">ROUND((M837+O837)/2,0)</f>
        <v>376</v>
      </c>
      <c r="O837">
        <v>208</v>
      </c>
      <c r="P837">
        <v>1261</v>
      </c>
      <c r="Q837">
        <v>1131</v>
      </c>
      <c r="R837">
        <v>945</v>
      </c>
      <c r="S837">
        <f t="shared" ref="S837:S900" si="116">ROUND((R837+T837)/2,0)</f>
        <v>821</v>
      </c>
      <c r="T837">
        <v>697</v>
      </c>
      <c r="U837">
        <f t="shared" ref="U837:U900" si="117">ROUND((T837+V837)/2,0)</f>
        <v>494</v>
      </c>
      <c r="V837">
        <v>291</v>
      </c>
      <c r="W837">
        <v>831</v>
      </c>
      <c r="X837">
        <v>735</v>
      </c>
      <c r="Y837">
        <v>606</v>
      </c>
      <c r="Z837">
        <f t="shared" ref="Z837:Z900" si="118">ROUND((Y837+AA837)/2,0)</f>
        <v>524</v>
      </c>
      <c r="AA837">
        <v>441</v>
      </c>
      <c r="AB837">
        <f t="shared" ref="AB837:AB900" si="119">ROUND((AA837+AC837)/2,0)</f>
        <v>311</v>
      </c>
      <c r="AC837">
        <v>181</v>
      </c>
    </row>
    <row r="838" spans="1:29" x14ac:dyDescent="0.25">
      <c r="A838" t="s">
        <v>845</v>
      </c>
      <c r="B838">
        <v>1545</v>
      </c>
      <c r="C838">
        <v>1364</v>
      </c>
      <c r="D838">
        <v>1118</v>
      </c>
      <c r="E838">
        <f t="shared" si="112"/>
        <v>958</v>
      </c>
      <c r="F838">
        <v>797</v>
      </c>
      <c r="G838">
        <f t="shared" si="113"/>
        <v>554</v>
      </c>
      <c r="H838">
        <v>310</v>
      </c>
      <c r="I838">
        <v>1061</v>
      </c>
      <c r="J838">
        <v>921</v>
      </c>
      <c r="K838">
        <v>742</v>
      </c>
      <c r="L838">
        <f t="shared" si="114"/>
        <v>631</v>
      </c>
      <c r="M838">
        <v>520</v>
      </c>
      <c r="N838">
        <f t="shared" si="115"/>
        <v>359</v>
      </c>
      <c r="O838">
        <v>198</v>
      </c>
      <c r="P838">
        <v>1158</v>
      </c>
      <c r="Q838">
        <v>1044</v>
      </c>
      <c r="R838">
        <v>876</v>
      </c>
      <c r="S838">
        <f t="shared" si="116"/>
        <v>762</v>
      </c>
      <c r="T838">
        <v>648</v>
      </c>
      <c r="U838">
        <f t="shared" si="117"/>
        <v>459</v>
      </c>
      <c r="V838">
        <v>270</v>
      </c>
      <c r="W838">
        <v>795</v>
      </c>
      <c r="X838">
        <v>705</v>
      </c>
      <c r="Y838">
        <v>581</v>
      </c>
      <c r="Z838">
        <f t="shared" si="118"/>
        <v>502</v>
      </c>
      <c r="AA838">
        <v>423</v>
      </c>
      <c r="AB838">
        <f t="shared" si="119"/>
        <v>298</v>
      </c>
      <c r="AC838">
        <v>173</v>
      </c>
    </row>
    <row r="839" spans="1:29" x14ac:dyDescent="0.25">
      <c r="A839" t="s">
        <v>846</v>
      </c>
      <c r="B839">
        <v>1399</v>
      </c>
      <c r="C839">
        <v>1240</v>
      </c>
      <c r="D839">
        <v>1021</v>
      </c>
      <c r="E839">
        <f t="shared" si="112"/>
        <v>875</v>
      </c>
      <c r="F839">
        <v>728</v>
      </c>
      <c r="G839">
        <f t="shared" si="113"/>
        <v>505</v>
      </c>
      <c r="H839">
        <v>281</v>
      </c>
      <c r="I839">
        <v>1012</v>
      </c>
      <c r="J839">
        <v>881</v>
      </c>
      <c r="K839">
        <v>709</v>
      </c>
      <c r="L839">
        <f t="shared" si="114"/>
        <v>603</v>
      </c>
      <c r="M839">
        <v>496</v>
      </c>
      <c r="N839">
        <f t="shared" si="115"/>
        <v>342</v>
      </c>
      <c r="O839">
        <v>188</v>
      </c>
      <c r="P839">
        <v>1049</v>
      </c>
      <c r="Q839">
        <v>948</v>
      </c>
      <c r="R839">
        <v>799</v>
      </c>
      <c r="S839">
        <f t="shared" si="116"/>
        <v>696</v>
      </c>
      <c r="T839">
        <v>592</v>
      </c>
      <c r="U839">
        <f t="shared" si="117"/>
        <v>419</v>
      </c>
      <c r="V839">
        <v>245</v>
      </c>
      <c r="W839">
        <v>759</v>
      </c>
      <c r="X839">
        <v>674</v>
      </c>
      <c r="Y839">
        <v>555</v>
      </c>
      <c r="Z839">
        <f t="shared" si="118"/>
        <v>479</v>
      </c>
      <c r="AA839">
        <v>403</v>
      </c>
      <c r="AB839">
        <f t="shared" si="119"/>
        <v>284</v>
      </c>
      <c r="AC839">
        <v>164</v>
      </c>
    </row>
    <row r="840" spans="1:29" x14ac:dyDescent="0.25">
      <c r="A840" t="s">
        <v>847</v>
      </c>
      <c r="B840">
        <v>2050</v>
      </c>
      <c r="C840">
        <v>1780</v>
      </c>
      <c r="D840">
        <v>1437</v>
      </c>
      <c r="E840">
        <f t="shared" si="112"/>
        <v>1227</v>
      </c>
      <c r="F840">
        <v>1017</v>
      </c>
      <c r="G840">
        <f t="shared" si="113"/>
        <v>707</v>
      </c>
      <c r="H840">
        <v>397</v>
      </c>
      <c r="I840">
        <v>1244</v>
      </c>
      <c r="J840">
        <v>1073</v>
      </c>
      <c r="K840">
        <v>860</v>
      </c>
      <c r="L840">
        <f t="shared" si="114"/>
        <v>732</v>
      </c>
      <c r="M840">
        <v>603</v>
      </c>
      <c r="N840">
        <f t="shared" si="115"/>
        <v>419</v>
      </c>
      <c r="O840">
        <v>235</v>
      </c>
      <c r="P840">
        <v>1537</v>
      </c>
      <c r="Q840">
        <v>1362</v>
      </c>
      <c r="R840">
        <v>1125</v>
      </c>
      <c r="S840">
        <f t="shared" si="116"/>
        <v>976</v>
      </c>
      <c r="T840">
        <v>826</v>
      </c>
      <c r="U840">
        <f t="shared" si="117"/>
        <v>586</v>
      </c>
      <c r="V840">
        <v>346</v>
      </c>
      <c r="W840">
        <v>933</v>
      </c>
      <c r="X840">
        <v>821</v>
      </c>
      <c r="Y840">
        <v>673</v>
      </c>
      <c r="Z840">
        <f t="shared" si="118"/>
        <v>582</v>
      </c>
      <c r="AA840">
        <v>490</v>
      </c>
      <c r="AB840">
        <f t="shared" si="119"/>
        <v>348</v>
      </c>
      <c r="AC840">
        <v>205</v>
      </c>
    </row>
    <row r="841" spans="1:29" x14ac:dyDescent="0.25">
      <c r="A841" t="s">
        <v>848</v>
      </c>
      <c r="B841">
        <v>1928</v>
      </c>
      <c r="C841">
        <v>1681</v>
      </c>
      <c r="D841">
        <v>1362</v>
      </c>
      <c r="E841">
        <f t="shared" si="112"/>
        <v>1163</v>
      </c>
      <c r="F841">
        <v>964</v>
      </c>
      <c r="G841">
        <f t="shared" si="113"/>
        <v>670</v>
      </c>
      <c r="H841">
        <v>376</v>
      </c>
      <c r="I841">
        <v>1198</v>
      </c>
      <c r="J841">
        <v>1035</v>
      </c>
      <c r="K841">
        <v>830</v>
      </c>
      <c r="L841">
        <f t="shared" si="114"/>
        <v>706</v>
      </c>
      <c r="M841">
        <v>582</v>
      </c>
      <c r="N841">
        <f t="shared" si="115"/>
        <v>404</v>
      </c>
      <c r="O841">
        <v>225</v>
      </c>
      <c r="P841">
        <v>1446</v>
      </c>
      <c r="Q841">
        <v>1286</v>
      </c>
      <c r="R841">
        <v>1066</v>
      </c>
      <c r="S841">
        <f t="shared" si="116"/>
        <v>925</v>
      </c>
      <c r="T841">
        <v>783</v>
      </c>
      <c r="U841">
        <f t="shared" si="117"/>
        <v>556</v>
      </c>
      <c r="V841">
        <v>328</v>
      </c>
      <c r="W841">
        <v>898</v>
      </c>
      <c r="X841">
        <v>792</v>
      </c>
      <c r="Y841">
        <v>650</v>
      </c>
      <c r="Z841">
        <f t="shared" si="118"/>
        <v>561</v>
      </c>
      <c r="AA841">
        <v>472</v>
      </c>
      <c r="AB841">
        <f t="shared" si="119"/>
        <v>334</v>
      </c>
      <c r="AC841">
        <v>196</v>
      </c>
    </row>
    <row r="842" spans="1:29" x14ac:dyDescent="0.25">
      <c r="A842" t="s">
        <v>849</v>
      </c>
      <c r="B842">
        <v>1803</v>
      </c>
      <c r="C842">
        <v>1578</v>
      </c>
      <c r="D842">
        <v>1282</v>
      </c>
      <c r="E842">
        <f t="shared" si="112"/>
        <v>1096</v>
      </c>
      <c r="F842">
        <v>909</v>
      </c>
      <c r="G842">
        <f t="shared" si="113"/>
        <v>632</v>
      </c>
      <c r="H842">
        <v>355</v>
      </c>
      <c r="I842">
        <v>1152</v>
      </c>
      <c r="J842">
        <v>996</v>
      </c>
      <c r="K842">
        <v>800</v>
      </c>
      <c r="L842">
        <f t="shared" si="114"/>
        <v>681</v>
      </c>
      <c r="M842">
        <v>562</v>
      </c>
      <c r="N842">
        <f t="shared" si="115"/>
        <v>390</v>
      </c>
      <c r="O842">
        <v>217</v>
      </c>
      <c r="P842">
        <v>1352</v>
      </c>
      <c r="Q842">
        <v>1207</v>
      </c>
      <c r="R842">
        <v>1004</v>
      </c>
      <c r="S842">
        <f t="shared" si="116"/>
        <v>871</v>
      </c>
      <c r="T842">
        <v>738</v>
      </c>
      <c r="U842">
        <f t="shared" si="117"/>
        <v>524</v>
      </c>
      <c r="V842">
        <v>309</v>
      </c>
      <c r="W842">
        <v>864</v>
      </c>
      <c r="X842">
        <v>762</v>
      </c>
      <c r="Y842">
        <v>627</v>
      </c>
      <c r="Z842">
        <f t="shared" si="118"/>
        <v>542</v>
      </c>
      <c r="AA842">
        <v>456</v>
      </c>
      <c r="AB842">
        <f t="shared" si="119"/>
        <v>323</v>
      </c>
      <c r="AC842">
        <v>189</v>
      </c>
    </row>
    <row r="843" spans="1:29" x14ac:dyDescent="0.25">
      <c r="A843" t="s">
        <v>850</v>
      </c>
      <c r="B843">
        <v>1675</v>
      </c>
      <c r="C843">
        <v>1471</v>
      </c>
      <c r="D843">
        <v>1200</v>
      </c>
      <c r="E843">
        <f t="shared" si="112"/>
        <v>1027</v>
      </c>
      <c r="F843">
        <v>853</v>
      </c>
      <c r="G843">
        <f t="shared" si="113"/>
        <v>592</v>
      </c>
      <c r="H843">
        <v>331</v>
      </c>
      <c r="I843">
        <v>1106</v>
      </c>
      <c r="J843">
        <v>958</v>
      </c>
      <c r="K843">
        <v>772</v>
      </c>
      <c r="L843">
        <f t="shared" si="114"/>
        <v>656</v>
      </c>
      <c r="M843">
        <v>539</v>
      </c>
      <c r="N843">
        <f t="shared" si="115"/>
        <v>373</v>
      </c>
      <c r="O843">
        <v>207</v>
      </c>
      <c r="P843">
        <v>1255</v>
      </c>
      <c r="Q843">
        <v>1125</v>
      </c>
      <c r="R843">
        <v>939</v>
      </c>
      <c r="S843">
        <f t="shared" si="116"/>
        <v>816</v>
      </c>
      <c r="T843">
        <v>693</v>
      </c>
      <c r="U843">
        <f t="shared" si="117"/>
        <v>491</v>
      </c>
      <c r="V843">
        <v>288</v>
      </c>
      <c r="W843">
        <v>828</v>
      </c>
      <c r="X843">
        <v>733</v>
      </c>
      <c r="Y843">
        <v>604</v>
      </c>
      <c r="Z843">
        <f t="shared" si="118"/>
        <v>521</v>
      </c>
      <c r="AA843">
        <v>438</v>
      </c>
      <c r="AB843">
        <f t="shared" si="119"/>
        <v>309</v>
      </c>
      <c r="AC843">
        <v>180</v>
      </c>
    </row>
    <row r="844" spans="1:29" x14ac:dyDescent="0.25">
      <c r="A844" t="s">
        <v>851</v>
      </c>
      <c r="B844">
        <v>1540</v>
      </c>
      <c r="C844">
        <v>1358</v>
      </c>
      <c r="D844">
        <v>1112</v>
      </c>
      <c r="E844">
        <f t="shared" si="112"/>
        <v>952</v>
      </c>
      <c r="F844">
        <v>792</v>
      </c>
      <c r="G844">
        <f t="shared" si="113"/>
        <v>550</v>
      </c>
      <c r="H844">
        <v>307</v>
      </c>
      <c r="I844">
        <v>1059</v>
      </c>
      <c r="J844">
        <v>919</v>
      </c>
      <c r="K844">
        <v>741</v>
      </c>
      <c r="L844">
        <f t="shared" si="114"/>
        <v>630</v>
      </c>
      <c r="M844">
        <v>519</v>
      </c>
      <c r="N844">
        <f t="shared" si="115"/>
        <v>358</v>
      </c>
      <c r="O844">
        <v>197</v>
      </c>
      <c r="P844">
        <v>1154</v>
      </c>
      <c r="Q844">
        <v>1039</v>
      </c>
      <c r="R844">
        <v>871</v>
      </c>
      <c r="S844">
        <f t="shared" si="116"/>
        <v>758</v>
      </c>
      <c r="T844">
        <v>644</v>
      </c>
      <c r="U844">
        <f t="shared" si="117"/>
        <v>456</v>
      </c>
      <c r="V844">
        <v>268</v>
      </c>
      <c r="W844">
        <v>793</v>
      </c>
      <c r="X844">
        <v>703</v>
      </c>
      <c r="Y844">
        <v>580</v>
      </c>
      <c r="Z844">
        <f t="shared" si="118"/>
        <v>501</v>
      </c>
      <c r="AA844">
        <v>422</v>
      </c>
      <c r="AB844">
        <f t="shared" si="119"/>
        <v>297</v>
      </c>
      <c r="AC844">
        <v>172</v>
      </c>
    </row>
    <row r="845" spans="1:29" x14ac:dyDescent="0.25">
      <c r="A845" t="s">
        <v>852</v>
      </c>
      <c r="B845">
        <v>1395</v>
      </c>
      <c r="C845">
        <v>1236</v>
      </c>
      <c r="D845">
        <v>1016</v>
      </c>
      <c r="E845">
        <f t="shared" si="112"/>
        <v>871</v>
      </c>
      <c r="F845">
        <v>725</v>
      </c>
      <c r="G845">
        <f t="shared" si="113"/>
        <v>503</v>
      </c>
      <c r="H845">
        <v>280</v>
      </c>
      <c r="I845">
        <v>1011</v>
      </c>
      <c r="J845">
        <v>879</v>
      </c>
      <c r="K845">
        <v>709</v>
      </c>
      <c r="L845">
        <f t="shared" si="114"/>
        <v>602</v>
      </c>
      <c r="M845">
        <v>495</v>
      </c>
      <c r="N845">
        <f t="shared" si="115"/>
        <v>342</v>
      </c>
      <c r="O845">
        <v>188</v>
      </c>
      <c r="P845">
        <v>1046</v>
      </c>
      <c r="Q845">
        <v>945</v>
      </c>
      <c r="R845">
        <v>795</v>
      </c>
      <c r="S845">
        <f t="shared" si="116"/>
        <v>692</v>
      </c>
      <c r="T845">
        <v>589</v>
      </c>
      <c r="U845">
        <f t="shared" si="117"/>
        <v>417</v>
      </c>
      <c r="V845">
        <v>244</v>
      </c>
      <c r="W845">
        <v>758</v>
      </c>
      <c r="X845">
        <v>672</v>
      </c>
      <c r="Y845">
        <v>555</v>
      </c>
      <c r="Z845">
        <f t="shared" si="118"/>
        <v>479</v>
      </c>
      <c r="AA845">
        <v>403</v>
      </c>
      <c r="AB845">
        <f t="shared" si="119"/>
        <v>283</v>
      </c>
      <c r="AC845">
        <v>163</v>
      </c>
    </row>
    <row r="846" spans="1:29" x14ac:dyDescent="0.25">
      <c r="A846" t="s">
        <v>853</v>
      </c>
      <c r="B846">
        <v>1240</v>
      </c>
      <c r="C846">
        <v>1103</v>
      </c>
      <c r="D846">
        <v>912</v>
      </c>
      <c r="E846">
        <f t="shared" si="112"/>
        <v>782</v>
      </c>
      <c r="F846">
        <v>652</v>
      </c>
      <c r="G846">
        <f t="shared" si="113"/>
        <v>451</v>
      </c>
      <c r="H846">
        <v>250</v>
      </c>
      <c r="I846">
        <v>961</v>
      </c>
      <c r="J846">
        <v>836</v>
      </c>
      <c r="K846">
        <v>676</v>
      </c>
      <c r="L846">
        <f t="shared" si="114"/>
        <v>574</v>
      </c>
      <c r="M846">
        <v>471</v>
      </c>
      <c r="N846">
        <f t="shared" si="115"/>
        <v>325</v>
      </c>
      <c r="O846">
        <v>178</v>
      </c>
      <c r="P846">
        <v>930</v>
      </c>
      <c r="Q846">
        <v>844</v>
      </c>
      <c r="R846">
        <v>714</v>
      </c>
      <c r="S846">
        <f t="shared" si="116"/>
        <v>622</v>
      </c>
      <c r="T846">
        <v>530</v>
      </c>
      <c r="U846">
        <f t="shared" si="117"/>
        <v>374</v>
      </c>
      <c r="V846">
        <v>217</v>
      </c>
      <c r="W846">
        <v>721</v>
      </c>
      <c r="X846">
        <v>640</v>
      </c>
      <c r="Y846">
        <v>529</v>
      </c>
      <c r="Z846">
        <f t="shared" si="118"/>
        <v>456</v>
      </c>
      <c r="AA846">
        <v>383</v>
      </c>
      <c r="AB846">
        <f t="shared" si="119"/>
        <v>269</v>
      </c>
      <c r="AC846">
        <v>155</v>
      </c>
    </row>
    <row r="847" spans="1:29" x14ac:dyDescent="0.25">
      <c r="A847" t="s">
        <v>854</v>
      </c>
      <c r="B847">
        <v>1925</v>
      </c>
      <c r="C847">
        <v>1675</v>
      </c>
      <c r="D847">
        <v>1355</v>
      </c>
      <c r="E847">
        <f t="shared" si="112"/>
        <v>1156</v>
      </c>
      <c r="F847">
        <v>957</v>
      </c>
      <c r="G847">
        <f t="shared" si="113"/>
        <v>665</v>
      </c>
      <c r="H847">
        <v>372</v>
      </c>
      <c r="I847">
        <v>1197</v>
      </c>
      <c r="J847">
        <v>1032</v>
      </c>
      <c r="K847">
        <v>828</v>
      </c>
      <c r="L847">
        <f t="shared" si="114"/>
        <v>704</v>
      </c>
      <c r="M847">
        <v>579</v>
      </c>
      <c r="N847">
        <f t="shared" si="115"/>
        <v>401</v>
      </c>
      <c r="O847">
        <v>223</v>
      </c>
      <c r="P847">
        <v>1443</v>
      </c>
      <c r="Q847">
        <v>1282</v>
      </c>
      <c r="R847">
        <v>1060</v>
      </c>
      <c r="S847">
        <f t="shared" si="116"/>
        <v>919</v>
      </c>
      <c r="T847">
        <v>777</v>
      </c>
      <c r="U847">
        <f t="shared" si="117"/>
        <v>551</v>
      </c>
      <c r="V847">
        <v>324</v>
      </c>
      <c r="W847">
        <v>897</v>
      </c>
      <c r="X847">
        <v>790</v>
      </c>
      <c r="Y847">
        <v>648</v>
      </c>
      <c r="Z847">
        <f t="shared" si="118"/>
        <v>559</v>
      </c>
      <c r="AA847">
        <v>470</v>
      </c>
      <c r="AB847">
        <f t="shared" si="119"/>
        <v>332</v>
      </c>
      <c r="AC847">
        <v>194</v>
      </c>
    </row>
    <row r="848" spans="1:29" x14ac:dyDescent="0.25">
      <c r="A848" t="s">
        <v>855</v>
      </c>
      <c r="B848">
        <v>1798</v>
      </c>
      <c r="C848">
        <v>1572</v>
      </c>
      <c r="D848">
        <v>1275</v>
      </c>
      <c r="E848">
        <f t="shared" si="112"/>
        <v>1089</v>
      </c>
      <c r="F848">
        <v>903</v>
      </c>
      <c r="G848">
        <f t="shared" si="113"/>
        <v>627</v>
      </c>
      <c r="H848">
        <v>350</v>
      </c>
      <c r="I848">
        <v>1150</v>
      </c>
      <c r="J848">
        <v>994</v>
      </c>
      <c r="K848">
        <v>798</v>
      </c>
      <c r="L848">
        <f t="shared" si="114"/>
        <v>678</v>
      </c>
      <c r="M848">
        <v>558</v>
      </c>
      <c r="N848">
        <f t="shared" si="115"/>
        <v>386</v>
      </c>
      <c r="O848">
        <v>214</v>
      </c>
      <c r="P848">
        <v>1348</v>
      </c>
      <c r="Q848">
        <v>1202</v>
      </c>
      <c r="R848">
        <v>998</v>
      </c>
      <c r="S848">
        <f t="shared" si="116"/>
        <v>866</v>
      </c>
      <c r="T848">
        <v>733</v>
      </c>
      <c r="U848">
        <f t="shared" si="117"/>
        <v>519</v>
      </c>
      <c r="V848">
        <v>305</v>
      </c>
      <c r="W848">
        <v>862</v>
      </c>
      <c r="X848">
        <v>760</v>
      </c>
      <c r="Y848">
        <v>625</v>
      </c>
      <c r="Z848">
        <f t="shared" si="118"/>
        <v>539</v>
      </c>
      <c r="AA848">
        <v>453</v>
      </c>
      <c r="AB848">
        <f t="shared" si="119"/>
        <v>320</v>
      </c>
      <c r="AC848">
        <v>187</v>
      </c>
    </row>
    <row r="849" spans="1:29" x14ac:dyDescent="0.25">
      <c r="A849" t="s">
        <v>856</v>
      </c>
      <c r="B849">
        <v>1667</v>
      </c>
      <c r="C849">
        <v>1463</v>
      </c>
      <c r="D849">
        <v>1193</v>
      </c>
      <c r="E849">
        <f t="shared" si="112"/>
        <v>1020</v>
      </c>
      <c r="F849">
        <v>846</v>
      </c>
      <c r="G849">
        <f t="shared" si="113"/>
        <v>587</v>
      </c>
      <c r="H849">
        <v>328</v>
      </c>
      <c r="I849">
        <v>1103</v>
      </c>
      <c r="J849">
        <v>956</v>
      </c>
      <c r="K849">
        <v>768</v>
      </c>
      <c r="L849">
        <f t="shared" si="114"/>
        <v>653</v>
      </c>
      <c r="M849">
        <v>538</v>
      </c>
      <c r="N849">
        <f t="shared" si="115"/>
        <v>372</v>
      </c>
      <c r="O849">
        <v>206</v>
      </c>
      <c r="P849">
        <v>1250</v>
      </c>
      <c r="Q849">
        <v>1119</v>
      </c>
      <c r="R849">
        <v>934</v>
      </c>
      <c r="S849">
        <f t="shared" si="116"/>
        <v>811</v>
      </c>
      <c r="T849">
        <v>688</v>
      </c>
      <c r="U849">
        <f t="shared" si="117"/>
        <v>487</v>
      </c>
      <c r="V849">
        <v>286</v>
      </c>
      <c r="W849">
        <v>827</v>
      </c>
      <c r="X849">
        <v>731</v>
      </c>
      <c r="Y849">
        <v>601</v>
      </c>
      <c r="Z849">
        <f t="shared" si="118"/>
        <v>519</v>
      </c>
      <c r="AA849">
        <v>437</v>
      </c>
      <c r="AB849">
        <f t="shared" si="119"/>
        <v>308</v>
      </c>
      <c r="AC849">
        <v>179</v>
      </c>
    </row>
    <row r="850" spans="1:29" x14ac:dyDescent="0.25">
      <c r="A850" t="s">
        <v>857</v>
      </c>
      <c r="B850">
        <v>1533</v>
      </c>
      <c r="C850">
        <v>1351</v>
      </c>
      <c r="D850">
        <v>1105</v>
      </c>
      <c r="E850">
        <f t="shared" si="112"/>
        <v>946</v>
      </c>
      <c r="F850">
        <v>786</v>
      </c>
      <c r="G850">
        <f t="shared" si="113"/>
        <v>545</v>
      </c>
      <c r="H850">
        <v>304</v>
      </c>
      <c r="I850">
        <v>1057</v>
      </c>
      <c r="J850">
        <v>917</v>
      </c>
      <c r="K850">
        <v>739</v>
      </c>
      <c r="L850">
        <f t="shared" si="114"/>
        <v>628</v>
      </c>
      <c r="M850">
        <v>516</v>
      </c>
      <c r="N850">
        <f t="shared" si="115"/>
        <v>357</v>
      </c>
      <c r="O850">
        <v>197</v>
      </c>
      <c r="P850">
        <v>1149</v>
      </c>
      <c r="Q850">
        <v>1033</v>
      </c>
      <c r="R850">
        <v>865</v>
      </c>
      <c r="S850">
        <f t="shared" si="116"/>
        <v>752</v>
      </c>
      <c r="T850">
        <v>638</v>
      </c>
      <c r="U850">
        <f t="shared" si="117"/>
        <v>452</v>
      </c>
      <c r="V850">
        <v>265</v>
      </c>
      <c r="W850">
        <v>792</v>
      </c>
      <c r="X850">
        <v>701</v>
      </c>
      <c r="Y850">
        <v>578</v>
      </c>
      <c r="Z850">
        <f t="shared" si="118"/>
        <v>499</v>
      </c>
      <c r="AA850">
        <v>419</v>
      </c>
      <c r="AB850">
        <f t="shared" si="119"/>
        <v>295</v>
      </c>
      <c r="AC850">
        <v>171</v>
      </c>
    </row>
    <row r="851" spans="1:29" x14ac:dyDescent="0.25">
      <c r="A851" t="s">
        <v>858</v>
      </c>
      <c r="B851">
        <v>1390</v>
      </c>
      <c r="C851">
        <v>1231</v>
      </c>
      <c r="D851">
        <v>1013</v>
      </c>
      <c r="E851">
        <f t="shared" si="112"/>
        <v>867</v>
      </c>
      <c r="F851">
        <v>721</v>
      </c>
      <c r="G851">
        <f t="shared" si="113"/>
        <v>500</v>
      </c>
      <c r="H851">
        <v>278</v>
      </c>
      <c r="I851">
        <v>1009</v>
      </c>
      <c r="J851">
        <v>878</v>
      </c>
      <c r="K851">
        <v>707</v>
      </c>
      <c r="L851">
        <f t="shared" si="114"/>
        <v>601</v>
      </c>
      <c r="M851">
        <v>494</v>
      </c>
      <c r="N851">
        <f t="shared" si="115"/>
        <v>340</v>
      </c>
      <c r="O851">
        <v>186</v>
      </c>
      <c r="P851">
        <v>1042</v>
      </c>
      <c r="Q851">
        <v>942</v>
      </c>
      <c r="R851">
        <v>793</v>
      </c>
      <c r="S851">
        <f t="shared" si="116"/>
        <v>690</v>
      </c>
      <c r="T851">
        <v>586</v>
      </c>
      <c r="U851">
        <f t="shared" si="117"/>
        <v>414</v>
      </c>
      <c r="V851">
        <v>242</v>
      </c>
      <c r="W851">
        <v>757</v>
      </c>
      <c r="X851">
        <v>672</v>
      </c>
      <c r="Y851">
        <v>554</v>
      </c>
      <c r="Z851">
        <f t="shared" si="118"/>
        <v>478</v>
      </c>
      <c r="AA851">
        <v>402</v>
      </c>
      <c r="AB851">
        <f t="shared" si="119"/>
        <v>282</v>
      </c>
      <c r="AC851">
        <v>162</v>
      </c>
    </row>
    <row r="852" spans="1:29" x14ac:dyDescent="0.25">
      <c r="A852" t="s">
        <v>859</v>
      </c>
      <c r="B852">
        <v>1235</v>
      </c>
      <c r="C852">
        <v>1098</v>
      </c>
      <c r="D852">
        <v>907</v>
      </c>
      <c r="E852">
        <f t="shared" si="112"/>
        <v>778</v>
      </c>
      <c r="F852">
        <v>648</v>
      </c>
      <c r="G852">
        <f t="shared" si="113"/>
        <v>449</v>
      </c>
      <c r="H852">
        <v>250</v>
      </c>
      <c r="I852">
        <v>960</v>
      </c>
      <c r="J852">
        <v>835</v>
      </c>
      <c r="K852">
        <v>674</v>
      </c>
      <c r="L852">
        <f t="shared" si="114"/>
        <v>573</v>
      </c>
      <c r="M852">
        <v>471</v>
      </c>
      <c r="N852">
        <f t="shared" si="115"/>
        <v>325</v>
      </c>
      <c r="O852">
        <v>178</v>
      </c>
      <c r="P852">
        <v>926</v>
      </c>
      <c r="Q852">
        <v>840</v>
      </c>
      <c r="R852">
        <v>710</v>
      </c>
      <c r="S852">
        <f t="shared" si="116"/>
        <v>619</v>
      </c>
      <c r="T852">
        <v>527</v>
      </c>
      <c r="U852">
        <f t="shared" si="117"/>
        <v>372</v>
      </c>
      <c r="V852">
        <v>217</v>
      </c>
      <c r="W852">
        <v>720</v>
      </c>
      <c r="X852">
        <v>639</v>
      </c>
      <c r="Y852">
        <v>528</v>
      </c>
      <c r="Z852">
        <f t="shared" si="118"/>
        <v>456</v>
      </c>
      <c r="AA852">
        <v>383</v>
      </c>
      <c r="AB852">
        <f t="shared" si="119"/>
        <v>269</v>
      </c>
      <c r="AC852">
        <v>155</v>
      </c>
    </row>
    <row r="853" spans="1:29" x14ac:dyDescent="0.25">
      <c r="A853" t="s">
        <v>860</v>
      </c>
      <c r="B853">
        <v>1079</v>
      </c>
      <c r="C853">
        <v>957</v>
      </c>
      <c r="D853">
        <v>793</v>
      </c>
      <c r="E853">
        <f t="shared" si="112"/>
        <v>681</v>
      </c>
      <c r="F853">
        <v>569</v>
      </c>
      <c r="G853">
        <f t="shared" si="113"/>
        <v>393</v>
      </c>
      <c r="H853">
        <v>216</v>
      </c>
      <c r="I853">
        <v>916</v>
      </c>
      <c r="J853">
        <v>792</v>
      </c>
      <c r="K853">
        <v>641</v>
      </c>
      <c r="L853">
        <f t="shared" si="114"/>
        <v>544</v>
      </c>
      <c r="M853">
        <v>447</v>
      </c>
      <c r="N853">
        <f t="shared" si="115"/>
        <v>308</v>
      </c>
      <c r="O853">
        <v>168</v>
      </c>
      <c r="P853">
        <v>809</v>
      </c>
      <c r="Q853">
        <v>732</v>
      </c>
      <c r="R853">
        <v>621</v>
      </c>
      <c r="S853">
        <f t="shared" si="116"/>
        <v>542</v>
      </c>
      <c r="T853">
        <v>462</v>
      </c>
      <c r="U853">
        <f t="shared" si="117"/>
        <v>325</v>
      </c>
      <c r="V853">
        <v>188</v>
      </c>
      <c r="W853">
        <v>687</v>
      </c>
      <c r="X853">
        <v>606</v>
      </c>
      <c r="Y853">
        <v>502</v>
      </c>
      <c r="Z853">
        <f t="shared" si="118"/>
        <v>433</v>
      </c>
      <c r="AA853">
        <v>363</v>
      </c>
      <c r="AB853">
        <f t="shared" si="119"/>
        <v>255</v>
      </c>
      <c r="AC853">
        <v>146</v>
      </c>
    </row>
    <row r="854" spans="1:29" x14ac:dyDescent="0.25">
      <c r="A854" t="s">
        <v>861</v>
      </c>
      <c r="B854">
        <v>1794</v>
      </c>
      <c r="C854">
        <v>1565</v>
      </c>
      <c r="D854">
        <v>1268</v>
      </c>
      <c r="E854">
        <f t="shared" si="112"/>
        <v>1082</v>
      </c>
      <c r="F854">
        <v>895</v>
      </c>
      <c r="G854">
        <f t="shared" si="113"/>
        <v>621</v>
      </c>
      <c r="H854">
        <v>346</v>
      </c>
      <c r="I854">
        <v>1148</v>
      </c>
      <c r="J854">
        <v>992</v>
      </c>
      <c r="K854">
        <v>795</v>
      </c>
      <c r="L854">
        <f t="shared" si="114"/>
        <v>675</v>
      </c>
      <c r="M854">
        <v>555</v>
      </c>
      <c r="N854">
        <f t="shared" si="115"/>
        <v>384</v>
      </c>
      <c r="O854">
        <v>213</v>
      </c>
      <c r="P854">
        <v>1345</v>
      </c>
      <c r="Q854">
        <v>1197</v>
      </c>
      <c r="R854">
        <v>993</v>
      </c>
      <c r="S854">
        <f t="shared" si="116"/>
        <v>860</v>
      </c>
      <c r="T854">
        <v>727</v>
      </c>
      <c r="U854">
        <f t="shared" si="117"/>
        <v>515</v>
      </c>
      <c r="V854">
        <v>302</v>
      </c>
      <c r="W854">
        <v>861</v>
      </c>
      <c r="X854">
        <v>758</v>
      </c>
      <c r="Y854">
        <v>622</v>
      </c>
      <c r="Z854">
        <f t="shared" si="118"/>
        <v>537</v>
      </c>
      <c r="AA854">
        <v>451</v>
      </c>
      <c r="AB854">
        <f t="shared" si="119"/>
        <v>319</v>
      </c>
      <c r="AC854">
        <v>186</v>
      </c>
    </row>
    <row r="855" spans="1:29" x14ac:dyDescent="0.25">
      <c r="A855" t="s">
        <v>862</v>
      </c>
      <c r="B855">
        <v>1661</v>
      </c>
      <c r="C855">
        <v>1455</v>
      </c>
      <c r="D855">
        <v>1184</v>
      </c>
      <c r="E855">
        <f t="shared" si="112"/>
        <v>1012</v>
      </c>
      <c r="F855">
        <v>839</v>
      </c>
      <c r="G855">
        <f t="shared" si="113"/>
        <v>582</v>
      </c>
      <c r="H855">
        <v>324</v>
      </c>
      <c r="I855">
        <v>1100</v>
      </c>
      <c r="J855">
        <v>953</v>
      </c>
      <c r="K855">
        <v>765</v>
      </c>
      <c r="L855">
        <f t="shared" si="114"/>
        <v>651</v>
      </c>
      <c r="M855">
        <v>536</v>
      </c>
      <c r="N855">
        <f t="shared" si="115"/>
        <v>370</v>
      </c>
      <c r="O855">
        <v>204</v>
      </c>
      <c r="P855">
        <v>1245</v>
      </c>
      <c r="Q855">
        <v>1114</v>
      </c>
      <c r="R855">
        <v>927</v>
      </c>
      <c r="S855">
        <f t="shared" si="116"/>
        <v>804</v>
      </c>
      <c r="T855">
        <v>681</v>
      </c>
      <c r="U855">
        <f t="shared" si="117"/>
        <v>482</v>
      </c>
      <c r="V855">
        <v>282</v>
      </c>
      <c r="W855">
        <v>825</v>
      </c>
      <c r="X855">
        <v>729</v>
      </c>
      <c r="Y855">
        <v>599</v>
      </c>
      <c r="Z855">
        <f t="shared" si="118"/>
        <v>517</v>
      </c>
      <c r="AA855">
        <v>435</v>
      </c>
      <c r="AB855">
        <f t="shared" si="119"/>
        <v>307</v>
      </c>
      <c r="AC855">
        <v>178</v>
      </c>
    </row>
    <row r="856" spans="1:29" x14ac:dyDescent="0.25">
      <c r="A856" t="s">
        <v>863</v>
      </c>
      <c r="B856">
        <v>1525</v>
      </c>
      <c r="C856">
        <v>1342</v>
      </c>
      <c r="D856">
        <v>1098</v>
      </c>
      <c r="E856">
        <f t="shared" si="112"/>
        <v>939</v>
      </c>
      <c r="F856">
        <v>779</v>
      </c>
      <c r="G856">
        <f t="shared" si="113"/>
        <v>540</v>
      </c>
      <c r="H856">
        <v>300</v>
      </c>
      <c r="I856">
        <v>1054</v>
      </c>
      <c r="J856">
        <v>914</v>
      </c>
      <c r="K856">
        <v>736</v>
      </c>
      <c r="L856">
        <f t="shared" si="114"/>
        <v>625</v>
      </c>
      <c r="M856">
        <v>514</v>
      </c>
      <c r="N856">
        <f t="shared" si="115"/>
        <v>354</v>
      </c>
      <c r="O856">
        <v>194</v>
      </c>
      <c r="P856">
        <v>1143</v>
      </c>
      <c r="Q856">
        <v>1027</v>
      </c>
      <c r="R856">
        <v>859</v>
      </c>
      <c r="S856">
        <f t="shared" si="116"/>
        <v>746</v>
      </c>
      <c r="T856">
        <v>632</v>
      </c>
      <c r="U856">
        <f t="shared" si="117"/>
        <v>447</v>
      </c>
      <c r="V856">
        <v>262</v>
      </c>
      <c r="W856">
        <v>790</v>
      </c>
      <c r="X856">
        <v>699</v>
      </c>
      <c r="Y856">
        <v>576</v>
      </c>
      <c r="Z856">
        <f t="shared" si="118"/>
        <v>497</v>
      </c>
      <c r="AA856">
        <v>417</v>
      </c>
      <c r="AB856">
        <f t="shared" si="119"/>
        <v>294</v>
      </c>
      <c r="AC856">
        <v>170</v>
      </c>
    </row>
    <row r="857" spans="1:29" x14ac:dyDescent="0.25">
      <c r="A857" t="s">
        <v>864</v>
      </c>
      <c r="B857">
        <v>1382</v>
      </c>
      <c r="C857">
        <v>1223</v>
      </c>
      <c r="D857">
        <v>1004</v>
      </c>
      <c r="E857">
        <f t="shared" si="112"/>
        <v>860</v>
      </c>
      <c r="F857">
        <v>716</v>
      </c>
      <c r="G857">
        <f t="shared" si="113"/>
        <v>496</v>
      </c>
      <c r="H857">
        <v>275</v>
      </c>
      <c r="I857">
        <v>1007</v>
      </c>
      <c r="J857">
        <v>875</v>
      </c>
      <c r="K857">
        <v>706</v>
      </c>
      <c r="L857">
        <f t="shared" si="114"/>
        <v>600</v>
      </c>
      <c r="M857">
        <v>493</v>
      </c>
      <c r="N857">
        <f t="shared" si="115"/>
        <v>339</v>
      </c>
      <c r="O857">
        <v>185</v>
      </c>
      <c r="P857">
        <v>1036</v>
      </c>
      <c r="Q857">
        <v>936</v>
      </c>
      <c r="R857">
        <v>786</v>
      </c>
      <c r="S857">
        <f t="shared" si="116"/>
        <v>684</v>
      </c>
      <c r="T857">
        <v>581</v>
      </c>
      <c r="U857">
        <f t="shared" si="117"/>
        <v>411</v>
      </c>
      <c r="V857">
        <v>240</v>
      </c>
      <c r="W857">
        <v>755</v>
      </c>
      <c r="X857">
        <v>670</v>
      </c>
      <c r="Y857">
        <v>553</v>
      </c>
      <c r="Z857">
        <f t="shared" si="118"/>
        <v>477</v>
      </c>
      <c r="AA857">
        <v>400</v>
      </c>
      <c r="AB857">
        <f t="shared" si="119"/>
        <v>281</v>
      </c>
      <c r="AC857">
        <v>162</v>
      </c>
    </row>
    <row r="858" spans="1:29" x14ac:dyDescent="0.25">
      <c r="A858" t="s">
        <v>865</v>
      </c>
      <c r="B858">
        <v>1230</v>
      </c>
      <c r="C858">
        <v>1093</v>
      </c>
      <c r="D858">
        <v>903</v>
      </c>
      <c r="E858">
        <f t="shared" si="112"/>
        <v>774</v>
      </c>
      <c r="F858">
        <v>644</v>
      </c>
      <c r="G858">
        <f t="shared" si="113"/>
        <v>446</v>
      </c>
      <c r="H858">
        <v>247</v>
      </c>
      <c r="I858">
        <v>959</v>
      </c>
      <c r="J858">
        <v>834</v>
      </c>
      <c r="K858">
        <v>674</v>
      </c>
      <c r="L858">
        <f t="shared" si="114"/>
        <v>572</v>
      </c>
      <c r="M858">
        <v>470</v>
      </c>
      <c r="N858">
        <f t="shared" si="115"/>
        <v>323</v>
      </c>
      <c r="O858">
        <v>175</v>
      </c>
      <c r="P858">
        <v>922</v>
      </c>
      <c r="Q858">
        <v>836</v>
      </c>
      <c r="R858">
        <v>707</v>
      </c>
      <c r="S858">
        <f t="shared" si="116"/>
        <v>616</v>
      </c>
      <c r="T858">
        <v>524</v>
      </c>
      <c r="U858">
        <f t="shared" si="117"/>
        <v>370</v>
      </c>
      <c r="V858">
        <v>215</v>
      </c>
      <c r="W858">
        <v>719</v>
      </c>
      <c r="X858">
        <v>638</v>
      </c>
      <c r="Y858">
        <v>528</v>
      </c>
      <c r="Z858">
        <f t="shared" si="118"/>
        <v>455</v>
      </c>
      <c r="AA858">
        <v>382</v>
      </c>
      <c r="AB858">
        <f t="shared" si="119"/>
        <v>268</v>
      </c>
      <c r="AC858">
        <v>153</v>
      </c>
    </row>
    <row r="859" spans="1:29" x14ac:dyDescent="0.25">
      <c r="A859" t="s">
        <v>866</v>
      </c>
      <c r="B859">
        <v>1075</v>
      </c>
      <c r="C859">
        <v>952</v>
      </c>
      <c r="D859">
        <v>790</v>
      </c>
      <c r="E859">
        <f t="shared" si="112"/>
        <v>678</v>
      </c>
      <c r="F859">
        <v>565</v>
      </c>
      <c r="G859">
        <f t="shared" si="113"/>
        <v>390</v>
      </c>
      <c r="H859">
        <v>215</v>
      </c>
      <c r="I859">
        <v>915</v>
      </c>
      <c r="J859">
        <v>791</v>
      </c>
      <c r="K859">
        <v>639</v>
      </c>
      <c r="L859">
        <f t="shared" si="114"/>
        <v>543</v>
      </c>
      <c r="M859">
        <v>446</v>
      </c>
      <c r="N859">
        <f t="shared" si="115"/>
        <v>307</v>
      </c>
      <c r="O859">
        <v>167</v>
      </c>
      <c r="P859">
        <v>806</v>
      </c>
      <c r="Q859">
        <v>728</v>
      </c>
      <c r="R859">
        <v>618</v>
      </c>
      <c r="S859">
        <f t="shared" si="116"/>
        <v>539</v>
      </c>
      <c r="T859">
        <v>459</v>
      </c>
      <c r="U859">
        <f t="shared" si="117"/>
        <v>323</v>
      </c>
      <c r="V859">
        <v>187</v>
      </c>
      <c r="W859">
        <v>686</v>
      </c>
      <c r="X859">
        <v>605</v>
      </c>
      <c r="Y859">
        <v>500</v>
      </c>
      <c r="Z859">
        <f t="shared" si="118"/>
        <v>431</v>
      </c>
      <c r="AA859">
        <v>362</v>
      </c>
      <c r="AB859">
        <f t="shared" si="119"/>
        <v>254</v>
      </c>
      <c r="AC859">
        <v>145</v>
      </c>
    </row>
    <row r="860" spans="1:29" x14ac:dyDescent="0.25">
      <c r="A860" t="s">
        <v>867</v>
      </c>
      <c r="B860">
        <v>901</v>
      </c>
      <c r="C860">
        <v>800</v>
      </c>
      <c r="D860">
        <v>667</v>
      </c>
      <c r="E860">
        <f t="shared" si="112"/>
        <v>574</v>
      </c>
      <c r="F860">
        <v>480</v>
      </c>
      <c r="G860">
        <f t="shared" si="113"/>
        <v>330</v>
      </c>
      <c r="H860">
        <v>180</v>
      </c>
      <c r="I860">
        <v>901</v>
      </c>
      <c r="J860">
        <v>736</v>
      </c>
      <c r="K860">
        <v>605</v>
      </c>
      <c r="L860">
        <f t="shared" si="114"/>
        <v>513</v>
      </c>
      <c r="M860">
        <v>421</v>
      </c>
      <c r="N860">
        <f t="shared" si="115"/>
        <v>289</v>
      </c>
      <c r="O860">
        <v>156</v>
      </c>
      <c r="P860">
        <v>676</v>
      </c>
      <c r="Q860">
        <v>612</v>
      </c>
      <c r="R860">
        <v>522</v>
      </c>
      <c r="S860">
        <f t="shared" si="116"/>
        <v>456</v>
      </c>
      <c r="T860">
        <v>390</v>
      </c>
      <c r="U860">
        <f t="shared" si="117"/>
        <v>274</v>
      </c>
      <c r="V860">
        <v>157</v>
      </c>
      <c r="W860">
        <v>676</v>
      </c>
      <c r="X860">
        <v>563</v>
      </c>
      <c r="Y860">
        <v>473</v>
      </c>
      <c r="Z860">
        <f t="shared" si="118"/>
        <v>408</v>
      </c>
      <c r="AA860">
        <v>342</v>
      </c>
      <c r="AB860">
        <f t="shared" si="119"/>
        <v>239</v>
      </c>
      <c r="AC860">
        <v>136</v>
      </c>
    </row>
    <row r="861" spans="1:29" x14ac:dyDescent="0.25">
      <c r="A861" t="s">
        <v>868</v>
      </c>
      <c r="B861">
        <v>1655</v>
      </c>
      <c r="C861">
        <v>1447</v>
      </c>
      <c r="D861">
        <v>1176</v>
      </c>
      <c r="E861">
        <f t="shared" si="112"/>
        <v>1003</v>
      </c>
      <c r="F861">
        <v>830</v>
      </c>
      <c r="G861">
        <f t="shared" si="113"/>
        <v>575</v>
      </c>
      <c r="H861">
        <v>319</v>
      </c>
      <c r="I861">
        <v>1099</v>
      </c>
      <c r="J861">
        <v>950</v>
      </c>
      <c r="K861">
        <v>762</v>
      </c>
      <c r="L861">
        <f t="shared" si="114"/>
        <v>647</v>
      </c>
      <c r="M861">
        <v>532</v>
      </c>
      <c r="N861">
        <f t="shared" si="115"/>
        <v>367</v>
      </c>
      <c r="O861">
        <v>202</v>
      </c>
      <c r="P861">
        <v>1240</v>
      </c>
      <c r="Q861">
        <v>1107</v>
      </c>
      <c r="R861">
        <v>920</v>
      </c>
      <c r="S861">
        <f t="shared" si="116"/>
        <v>797</v>
      </c>
      <c r="T861">
        <v>674</v>
      </c>
      <c r="U861">
        <f t="shared" si="117"/>
        <v>476</v>
      </c>
      <c r="V861">
        <v>278</v>
      </c>
      <c r="W861">
        <v>824</v>
      </c>
      <c r="X861">
        <v>727</v>
      </c>
      <c r="Y861">
        <v>596</v>
      </c>
      <c r="Z861">
        <f t="shared" si="118"/>
        <v>514</v>
      </c>
      <c r="AA861">
        <v>432</v>
      </c>
      <c r="AB861">
        <f t="shared" si="119"/>
        <v>304</v>
      </c>
      <c r="AC861">
        <v>176</v>
      </c>
    </row>
    <row r="862" spans="1:29" x14ac:dyDescent="0.25">
      <c r="A862" t="s">
        <v>869</v>
      </c>
      <c r="B862">
        <v>1517</v>
      </c>
      <c r="C862">
        <v>1333</v>
      </c>
      <c r="D862">
        <v>1088</v>
      </c>
      <c r="E862">
        <f t="shared" si="112"/>
        <v>930</v>
      </c>
      <c r="F862">
        <v>771</v>
      </c>
      <c r="G862">
        <f t="shared" si="113"/>
        <v>534</v>
      </c>
      <c r="H862">
        <v>296</v>
      </c>
      <c r="I862">
        <v>1052</v>
      </c>
      <c r="J862">
        <v>910</v>
      </c>
      <c r="K862">
        <v>733</v>
      </c>
      <c r="L862">
        <f t="shared" si="114"/>
        <v>622</v>
      </c>
      <c r="M862">
        <v>511</v>
      </c>
      <c r="N862">
        <f t="shared" si="115"/>
        <v>352</v>
      </c>
      <c r="O862">
        <v>193</v>
      </c>
      <c r="P862">
        <v>1137</v>
      </c>
      <c r="Q862">
        <v>1020</v>
      </c>
      <c r="R862">
        <v>851</v>
      </c>
      <c r="S862">
        <f t="shared" si="116"/>
        <v>739</v>
      </c>
      <c r="T862">
        <v>626</v>
      </c>
      <c r="U862">
        <f t="shared" si="117"/>
        <v>442</v>
      </c>
      <c r="V862">
        <v>258</v>
      </c>
      <c r="W862">
        <v>788</v>
      </c>
      <c r="X862">
        <v>697</v>
      </c>
      <c r="Y862">
        <v>573</v>
      </c>
      <c r="Z862">
        <f t="shared" si="118"/>
        <v>494</v>
      </c>
      <c r="AA862">
        <v>415</v>
      </c>
      <c r="AB862">
        <f t="shared" si="119"/>
        <v>292</v>
      </c>
      <c r="AC862">
        <v>168</v>
      </c>
    </row>
    <row r="863" spans="1:29" x14ac:dyDescent="0.25">
      <c r="A863" t="s">
        <v>870</v>
      </c>
      <c r="B863">
        <v>1374</v>
      </c>
      <c r="C863">
        <v>1213</v>
      </c>
      <c r="D863">
        <v>996</v>
      </c>
      <c r="E863">
        <f t="shared" si="112"/>
        <v>852</v>
      </c>
      <c r="F863">
        <v>708</v>
      </c>
      <c r="G863">
        <f t="shared" si="113"/>
        <v>490</v>
      </c>
      <c r="H863">
        <v>272</v>
      </c>
      <c r="I863">
        <v>1005</v>
      </c>
      <c r="J863">
        <v>871</v>
      </c>
      <c r="K863">
        <v>703</v>
      </c>
      <c r="L863">
        <f t="shared" si="114"/>
        <v>597</v>
      </c>
      <c r="M863">
        <v>490</v>
      </c>
      <c r="N863">
        <f t="shared" si="115"/>
        <v>338</v>
      </c>
      <c r="O863">
        <v>185</v>
      </c>
      <c r="P863">
        <v>1030</v>
      </c>
      <c r="Q863">
        <v>928</v>
      </c>
      <c r="R863">
        <v>779</v>
      </c>
      <c r="S863">
        <f t="shared" si="116"/>
        <v>677</v>
      </c>
      <c r="T863">
        <v>575</v>
      </c>
      <c r="U863">
        <f t="shared" si="117"/>
        <v>406</v>
      </c>
      <c r="V863">
        <v>237</v>
      </c>
      <c r="W863">
        <v>753</v>
      </c>
      <c r="X863">
        <v>667</v>
      </c>
      <c r="Y863">
        <v>549</v>
      </c>
      <c r="Z863">
        <f t="shared" si="118"/>
        <v>474</v>
      </c>
      <c r="AA863">
        <v>398</v>
      </c>
      <c r="AB863">
        <f t="shared" si="119"/>
        <v>280</v>
      </c>
      <c r="AC863">
        <v>161</v>
      </c>
    </row>
    <row r="864" spans="1:29" x14ac:dyDescent="0.25">
      <c r="A864" t="s">
        <v>871</v>
      </c>
      <c r="B864">
        <v>1225</v>
      </c>
      <c r="C864">
        <v>1087</v>
      </c>
      <c r="D864">
        <v>897</v>
      </c>
      <c r="E864">
        <f t="shared" si="112"/>
        <v>768</v>
      </c>
      <c r="F864">
        <v>639</v>
      </c>
      <c r="G864">
        <f t="shared" si="113"/>
        <v>443</v>
      </c>
      <c r="H864">
        <v>246</v>
      </c>
      <c r="I864">
        <v>957</v>
      </c>
      <c r="J864">
        <v>832</v>
      </c>
      <c r="K864">
        <v>672</v>
      </c>
      <c r="L864">
        <f t="shared" si="114"/>
        <v>571</v>
      </c>
      <c r="M864">
        <v>469</v>
      </c>
      <c r="N864">
        <f t="shared" si="115"/>
        <v>323</v>
      </c>
      <c r="O864">
        <v>176</v>
      </c>
      <c r="P864">
        <v>918</v>
      </c>
      <c r="Q864">
        <v>832</v>
      </c>
      <c r="R864">
        <v>702</v>
      </c>
      <c r="S864">
        <f t="shared" si="116"/>
        <v>611</v>
      </c>
      <c r="T864">
        <v>519</v>
      </c>
      <c r="U864">
        <f t="shared" si="117"/>
        <v>367</v>
      </c>
      <c r="V864">
        <v>214</v>
      </c>
      <c r="W864">
        <v>717</v>
      </c>
      <c r="X864">
        <v>637</v>
      </c>
      <c r="Y864">
        <v>526</v>
      </c>
      <c r="Z864">
        <f t="shared" si="118"/>
        <v>454</v>
      </c>
      <c r="AA864">
        <v>381</v>
      </c>
      <c r="AB864">
        <f t="shared" si="119"/>
        <v>267</v>
      </c>
      <c r="AC864">
        <v>153</v>
      </c>
    </row>
    <row r="865" spans="1:29" x14ac:dyDescent="0.25">
      <c r="A865" t="s">
        <v>872</v>
      </c>
      <c r="B865">
        <v>1070</v>
      </c>
      <c r="C865">
        <v>947</v>
      </c>
      <c r="D865">
        <v>785</v>
      </c>
      <c r="E865">
        <f t="shared" si="112"/>
        <v>674</v>
      </c>
      <c r="F865">
        <v>562</v>
      </c>
      <c r="G865">
        <f t="shared" si="113"/>
        <v>389</v>
      </c>
      <c r="H865">
        <v>215</v>
      </c>
      <c r="I865">
        <v>913</v>
      </c>
      <c r="J865">
        <v>789</v>
      </c>
      <c r="K865">
        <v>638</v>
      </c>
      <c r="L865">
        <f t="shared" si="114"/>
        <v>542</v>
      </c>
      <c r="M865">
        <v>445</v>
      </c>
      <c r="N865">
        <f t="shared" si="115"/>
        <v>306</v>
      </c>
      <c r="O865">
        <v>167</v>
      </c>
      <c r="P865">
        <v>802</v>
      </c>
      <c r="Q865">
        <v>725</v>
      </c>
      <c r="R865">
        <v>614</v>
      </c>
      <c r="S865">
        <f t="shared" si="116"/>
        <v>535</v>
      </c>
      <c r="T865">
        <v>456</v>
      </c>
      <c r="U865">
        <f t="shared" si="117"/>
        <v>322</v>
      </c>
      <c r="V865">
        <v>187</v>
      </c>
      <c r="W865">
        <v>684</v>
      </c>
      <c r="X865">
        <v>604</v>
      </c>
      <c r="Y865">
        <v>499</v>
      </c>
      <c r="Z865">
        <f t="shared" si="118"/>
        <v>430</v>
      </c>
      <c r="AA865">
        <v>361</v>
      </c>
      <c r="AB865">
        <f t="shared" si="119"/>
        <v>253</v>
      </c>
      <c r="AC865">
        <v>145</v>
      </c>
    </row>
    <row r="866" spans="1:29" x14ac:dyDescent="0.25">
      <c r="A866" t="s">
        <v>873</v>
      </c>
      <c r="B866">
        <v>894</v>
      </c>
      <c r="C866">
        <v>787</v>
      </c>
      <c r="D866">
        <v>662</v>
      </c>
      <c r="E866">
        <f t="shared" si="112"/>
        <v>569</v>
      </c>
      <c r="F866">
        <v>476</v>
      </c>
      <c r="G866">
        <f t="shared" si="113"/>
        <v>328</v>
      </c>
      <c r="H866">
        <v>179</v>
      </c>
      <c r="I866">
        <v>894</v>
      </c>
      <c r="J866">
        <v>729</v>
      </c>
      <c r="K866">
        <v>604</v>
      </c>
      <c r="L866">
        <f t="shared" si="114"/>
        <v>512</v>
      </c>
      <c r="M866">
        <v>420</v>
      </c>
      <c r="N866">
        <f t="shared" si="115"/>
        <v>288</v>
      </c>
      <c r="O866">
        <v>156</v>
      </c>
      <c r="P866">
        <v>670</v>
      </c>
      <c r="Q866">
        <v>602</v>
      </c>
      <c r="R866">
        <v>518</v>
      </c>
      <c r="S866">
        <f t="shared" si="116"/>
        <v>453</v>
      </c>
      <c r="T866">
        <v>387</v>
      </c>
      <c r="U866">
        <f t="shared" si="117"/>
        <v>272</v>
      </c>
      <c r="V866">
        <v>156</v>
      </c>
      <c r="W866">
        <v>670</v>
      </c>
      <c r="X866">
        <v>558</v>
      </c>
      <c r="Y866">
        <v>472</v>
      </c>
      <c r="Z866">
        <f t="shared" si="118"/>
        <v>407</v>
      </c>
      <c r="AA866">
        <v>341</v>
      </c>
      <c r="AB866">
        <f t="shared" si="119"/>
        <v>239</v>
      </c>
      <c r="AC866">
        <v>136</v>
      </c>
    </row>
    <row r="867" spans="1:29" x14ac:dyDescent="0.25">
      <c r="A867" t="s">
        <v>874</v>
      </c>
      <c r="B867">
        <v>843</v>
      </c>
      <c r="C867">
        <v>740</v>
      </c>
      <c r="D867">
        <v>600</v>
      </c>
      <c r="E867">
        <f t="shared" si="112"/>
        <v>510</v>
      </c>
      <c r="F867">
        <v>420</v>
      </c>
      <c r="G867">
        <f t="shared" si="113"/>
        <v>289</v>
      </c>
      <c r="H867">
        <v>157</v>
      </c>
      <c r="I867">
        <v>843</v>
      </c>
      <c r="J867">
        <v>740</v>
      </c>
      <c r="K867">
        <v>600</v>
      </c>
      <c r="L867">
        <f t="shared" si="114"/>
        <v>510</v>
      </c>
      <c r="M867">
        <v>420</v>
      </c>
      <c r="N867">
        <f t="shared" si="115"/>
        <v>289</v>
      </c>
      <c r="O867">
        <v>157</v>
      </c>
      <c r="P867">
        <v>632</v>
      </c>
      <c r="Q867">
        <v>566</v>
      </c>
      <c r="R867">
        <v>469</v>
      </c>
      <c r="S867">
        <f t="shared" si="116"/>
        <v>405</v>
      </c>
      <c r="T867">
        <v>341</v>
      </c>
      <c r="U867">
        <f t="shared" si="117"/>
        <v>239</v>
      </c>
      <c r="V867">
        <v>137</v>
      </c>
      <c r="W867">
        <v>632</v>
      </c>
      <c r="X867">
        <v>566</v>
      </c>
      <c r="Y867">
        <v>469</v>
      </c>
      <c r="Z867">
        <f t="shared" si="118"/>
        <v>405</v>
      </c>
      <c r="AA867">
        <v>341</v>
      </c>
      <c r="AB867">
        <f t="shared" si="119"/>
        <v>239</v>
      </c>
      <c r="AC867">
        <v>137</v>
      </c>
    </row>
    <row r="868" spans="1:29" x14ac:dyDescent="0.25">
      <c r="A868" t="s">
        <v>875</v>
      </c>
      <c r="B868">
        <v>1510</v>
      </c>
      <c r="C868">
        <v>1324</v>
      </c>
      <c r="D868">
        <v>1078</v>
      </c>
      <c r="E868">
        <f t="shared" si="112"/>
        <v>920</v>
      </c>
      <c r="F868">
        <v>762</v>
      </c>
      <c r="G868">
        <f t="shared" si="113"/>
        <v>527</v>
      </c>
      <c r="H868">
        <v>291</v>
      </c>
      <c r="I868">
        <v>1049</v>
      </c>
      <c r="J868">
        <v>908</v>
      </c>
      <c r="K868">
        <v>729</v>
      </c>
      <c r="L868">
        <f t="shared" si="114"/>
        <v>619</v>
      </c>
      <c r="M868">
        <v>509</v>
      </c>
      <c r="N868">
        <f t="shared" si="115"/>
        <v>350</v>
      </c>
      <c r="O868">
        <v>191</v>
      </c>
      <c r="P868">
        <v>1132</v>
      </c>
      <c r="Q868">
        <v>1013</v>
      </c>
      <c r="R868">
        <v>844</v>
      </c>
      <c r="S868">
        <f t="shared" si="116"/>
        <v>732</v>
      </c>
      <c r="T868">
        <v>619</v>
      </c>
      <c r="U868">
        <f t="shared" si="117"/>
        <v>437</v>
      </c>
      <c r="V868">
        <v>254</v>
      </c>
      <c r="W868">
        <v>786</v>
      </c>
      <c r="X868">
        <v>695</v>
      </c>
      <c r="Y868">
        <v>571</v>
      </c>
      <c r="Z868">
        <f t="shared" si="118"/>
        <v>492</v>
      </c>
      <c r="AA868">
        <v>413</v>
      </c>
      <c r="AB868">
        <f t="shared" si="119"/>
        <v>290</v>
      </c>
      <c r="AC868">
        <v>167</v>
      </c>
    </row>
    <row r="869" spans="1:29" x14ac:dyDescent="0.25">
      <c r="A869" t="s">
        <v>876</v>
      </c>
      <c r="B869">
        <v>1364</v>
      </c>
      <c r="C869">
        <v>1203</v>
      </c>
      <c r="D869">
        <v>986</v>
      </c>
      <c r="E869">
        <f t="shared" si="112"/>
        <v>843</v>
      </c>
      <c r="F869">
        <v>699</v>
      </c>
      <c r="G869">
        <f t="shared" si="113"/>
        <v>483</v>
      </c>
      <c r="H869">
        <v>267</v>
      </c>
      <c r="I869">
        <v>1002</v>
      </c>
      <c r="J869">
        <v>868</v>
      </c>
      <c r="K869">
        <v>700</v>
      </c>
      <c r="L869">
        <f t="shared" si="114"/>
        <v>594</v>
      </c>
      <c r="M869">
        <v>487</v>
      </c>
      <c r="N869">
        <f t="shared" si="115"/>
        <v>335</v>
      </c>
      <c r="O869">
        <v>183</v>
      </c>
      <c r="P869">
        <v>1023</v>
      </c>
      <c r="Q869">
        <v>921</v>
      </c>
      <c r="R869">
        <v>772</v>
      </c>
      <c r="S869">
        <f t="shared" si="116"/>
        <v>670</v>
      </c>
      <c r="T869">
        <v>568</v>
      </c>
      <c r="U869">
        <f t="shared" si="117"/>
        <v>401</v>
      </c>
      <c r="V869">
        <v>233</v>
      </c>
      <c r="W869">
        <v>751</v>
      </c>
      <c r="X869">
        <v>665</v>
      </c>
      <c r="Y869">
        <v>548</v>
      </c>
      <c r="Z869">
        <f t="shared" si="118"/>
        <v>472</v>
      </c>
      <c r="AA869">
        <v>396</v>
      </c>
      <c r="AB869">
        <f t="shared" si="119"/>
        <v>278</v>
      </c>
      <c r="AC869">
        <v>160</v>
      </c>
    </row>
    <row r="870" spans="1:29" x14ac:dyDescent="0.25">
      <c r="A870" t="s">
        <v>877</v>
      </c>
      <c r="B870">
        <v>1215</v>
      </c>
      <c r="C870">
        <v>1077</v>
      </c>
      <c r="D870">
        <v>888</v>
      </c>
      <c r="E870">
        <f t="shared" si="112"/>
        <v>761</v>
      </c>
      <c r="F870">
        <v>633</v>
      </c>
      <c r="G870">
        <f t="shared" si="113"/>
        <v>438</v>
      </c>
      <c r="H870">
        <v>242</v>
      </c>
      <c r="I870">
        <v>953</v>
      </c>
      <c r="J870">
        <v>829</v>
      </c>
      <c r="K870">
        <v>668</v>
      </c>
      <c r="L870">
        <f t="shared" si="114"/>
        <v>567</v>
      </c>
      <c r="M870">
        <v>466</v>
      </c>
      <c r="N870">
        <f t="shared" si="115"/>
        <v>321</v>
      </c>
      <c r="O870">
        <v>175</v>
      </c>
      <c r="P870">
        <v>910</v>
      </c>
      <c r="Q870">
        <v>824</v>
      </c>
      <c r="R870">
        <v>695</v>
      </c>
      <c r="S870">
        <f t="shared" si="116"/>
        <v>605</v>
      </c>
      <c r="T870">
        <v>514</v>
      </c>
      <c r="U870">
        <f t="shared" si="117"/>
        <v>363</v>
      </c>
      <c r="V870">
        <v>211</v>
      </c>
      <c r="W870">
        <v>714</v>
      </c>
      <c r="X870">
        <v>634</v>
      </c>
      <c r="Y870">
        <v>523</v>
      </c>
      <c r="Z870">
        <f t="shared" si="118"/>
        <v>451</v>
      </c>
      <c r="AA870">
        <v>379</v>
      </c>
      <c r="AB870">
        <f t="shared" si="119"/>
        <v>266</v>
      </c>
      <c r="AC870">
        <v>152</v>
      </c>
    </row>
    <row r="871" spans="1:29" x14ac:dyDescent="0.25">
      <c r="A871" t="s">
        <v>878</v>
      </c>
      <c r="B871">
        <v>1064</v>
      </c>
      <c r="C871">
        <v>940</v>
      </c>
      <c r="D871">
        <v>779</v>
      </c>
      <c r="E871">
        <f t="shared" si="112"/>
        <v>669</v>
      </c>
      <c r="F871">
        <v>558</v>
      </c>
      <c r="G871">
        <f t="shared" si="113"/>
        <v>385</v>
      </c>
      <c r="H871">
        <v>212</v>
      </c>
      <c r="I871">
        <v>912</v>
      </c>
      <c r="J871">
        <v>787</v>
      </c>
      <c r="K871">
        <v>637</v>
      </c>
      <c r="L871">
        <f t="shared" si="114"/>
        <v>541</v>
      </c>
      <c r="M871">
        <v>444</v>
      </c>
      <c r="N871">
        <f t="shared" si="115"/>
        <v>305</v>
      </c>
      <c r="O871">
        <v>165</v>
      </c>
      <c r="P871">
        <v>797</v>
      </c>
      <c r="Q871">
        <v>719</v>
      </c>
      <c r="R871">
        <v>610</v>
      </c>
      <c r="S871">
        <f t="shared" si="116"/>
        <v>532</v>
      </c>
      <c r="T871">
        <v>453</v>
      </c>
      <c r="U871">
        <f t="shared" si="117"/>
        <v>319</v>
      </c>
      <c r="V871">
        <v>185</v>
      </c>
      <c r="W871">
        <v>683</v>
      </c>
      <c r="X871">
        <v>602</v>
      </c>
      <c r="Y871">
        <v>498</v>
      </c>
      <c r="Z871">
        <f t="shared" si="118"/>
        <v>429</v>
      </c>
      <c r="AA871">
        <v>360</v>
      </c>
      <c r="AB871">
        <f t="shared" si="119"/>
        <v>252</v>
      </c>
      <c r="AC871">
        <v>144</v>
      </c>
    </row>
    <row r="872" spans="1:29" x14ac:dyDescent="0.25">
      <c r="A872" t="s">
        <v>879</v>
      </c>
      <c r="B872">
        <v>886</v>
      </c>
      <c r="C872">
        <v>790</v>
      </c>
      <c r="D872">
        <v>658</v>
      </c>
      <c r="E872">
        <f t="shared" si="112"/>
        <v>566</v>
      </c>
      <c r="F872">
        <v>473</v>
      </c>
      <c r="G872">
        <f t="shared" si="113"/>
        <v>326</v>
      </c>
      <c r="H872">
        <v>178</v>
      </c>
      <c r="I872">
        <v>886</v>
      </c>
      <c r="J872">
        <v>744</v>
      </c>
      <c r="K872">
        <v>601</v>
      </c>
      <c r="L872">
        <f t="shared" si="114"/>
        <v>511</v>
      </c>
      <c r="M872">
        <v>420</v>
      </c>
      <c r="N872">
        <f t="shared" si="115"/>
        <v>288</v>
      </c>
      <c r="O872">
        <v>156</v>
      </c>
      <c r="P872">
        <v>664</v>
      </c>
      <c r="Q872">
        <v>604</v>
      </c>
      <c r="R872">
        <v>515</v>
      </c>
      <c r="S872">
        <f t="shared" si="116"/>
        <v>450</v>
      </c>
      <c r="T872">
        <v>384</v>
      </c>
      <c r="U872">
        <f t="shared" si="117"/>
        <v>270</v>
      </c>
      <c r="V872">
        <v>155</v>
      </c>
      <c r="W872">
        <v>664</v>
      </c>
      <c r="X872">
        <v>569</v>
      </c>
      <c r="Y872">
        <v>470</v>
      </c>
      <c r="Z872">
        <f t="shared" si="118"/>
        <v>406</v>
      </c>
      <c r="AA872">
        <v>341</v>
      </c>
      <c r="AB872">
        <f t="shared" si="119"/>
        <v>238</v>
      </c>
      <c r="AC872">
        <v>135</v>
      </c>
    </row>
    <row r="873" spans="1:29" x14ac:dyDescent="0.25">
      <c r="A873" t="s">
        <v>880</v>
      </c>
      <c r="B873">
        <v>835</v>
      </c>
      <c r="C873">
        <v>732</v>
      </c>
      <c r="D873">
        <v>595</v>
      </c>
      <c r="E873">
        <f t="shared" si="112"/>
        <v>506</v>
      </c>
      <c r="F873">
        <v>416</v>
      </c>
      <c r="G873">
        <f t="shared" si="113"/>
        <v>285</v>
      </c>
      <c r="H873">
        <v>154</v>
      </c>
      <c r="I873">
        <v>835</v>
      </c>
      <c r="J873">
        <v>732</v>
      </c>
      <c r="K873">
        <v>595</v>
      </c>
      <c r="L873">
        <f t="shared" si="114"/>
        <v>506</v>
      </c>
      <c r="M873">
        <v>416</v>
      </c>
      <c r="N873">
        <f t="shared" si="115"/>
        <v>285</v>
      </c>
      <c r="O873">
        <v>154</v>
      </c>
      <c r="P873">
        <v>626</v>
      </c>
      <c r="Q873">
        <v>560</v>
      </c>
      <c r="R873">
        <v>466</v>
      </c>
      <c r="S873">
        <f t="shared" si="116"/>
        <v>402</v>
      </c>
      <c r="T873">
        <v>338</v>
      </c>
      <c r="U873">
        <f t="shared" si="117"/>
        <v>236</v>
      </c>
      <c r="V873">
        <v>134</v>
      </c>
      <c r="W873">
        <v>626</v>
      </c>
      <c r="X873">
        <v>560</v>
      </c>
      <c r="Y873">
        <v>466</v>
      </c>
      <c r="Z873">
        <f t="shared" si="118"/>
        <v>402</v>
      </c>
      <c r="AA873">
        <v>338</v>
      </c>
      <c r="AB873">
        <f t="shared" si="119"/>
        <v>236</v>
      </c>
      <c r="AC873">
        <v>134</v>
      </c>
    </row>
    <row r="874" spans="1:29" x14ac:dyDescent="0.25">
      <c r="A874" t="s">
        <v>881</v>
      </c>
      <c r="B874">
        <v>784</v>
      </c>
      <c r="C874">
        <v>696</v>
      </c>
      <c r="D874">
        <v>562</v>
      </c>
      <c r="E874">
        <f t="shared" si="112"/>
        <v>479</v>
      </c>
      <c r="F874">
        <v>395</v>
      </c>
      <c r="G874">
        <f t="shared" si="113"/>
        <v>271</v>
      </c>
      <c r="H874">
        <v>146</v>
      </c>
      <c r="I874">
        <v>784</v>
      </c>
      <c r="J874">
        <v>696</v>
      </c>
      <c r="K874">
        <v>562</v>
      </c>
      <c r="L874">
        <f t="shared" si="114"/>
        <v>479</v>
      </c>
      <c r="M874">
        <v>395</v>
      </c>
      <c r="N874">
        <f t="shared" si="115"/>
        <v>271</v>
      </c>
      <c r="O874">
        <v>146</v>
      </c>
      <c r="P874">
        <v>588</v>
      </c>
      <c r="Q874">
        <v>533</v>
      </c>
      <c r="R874">
        <v>440</v>
      </c>
      <c r="S874">
        <f t="shared" si="116"/>
        <v>381</v>
      </c>
      <c r="T874">
        <v>321</v>
      </c>
      <c r="U874">
        <f t="shared" si="117"/>
        <v>224</v>
      </c>
      <c r="V874">
        <v>127</v>
      </c>
      <c r="W874">
        <v>588</v>
      </c>
      <c r="X874">
        <v>533</v>
      </c>
      <c r="Y874">
        <v>440</v>
      </c>
      <c r="Z874">
        <f t="shared" si="118"/>
        <v>381</v>
      </c>
      <c r="AA874">
        <v>321</v>
      </c>
      <c r="AB874">
        <f t="shared" si="119"/>
        <v>224</v>
      </c>
      <c r="AC874">
        <v>127</v>
      </c>
    </row>
    <row r="875" spans="1:29" x14ac:dyDescent="0.25">
      <c r="A875" t="s">
        <v>882</v>
      </c>
      <c r="B875">
        <v>1356</v>
      </c>
      <c r="C875">
        <v>1193</v>
      </c>
      <c r="D875">
        <v>976</v>
      </c>
      <c r="E875">
        <f t="shared" si="112"/>
        <v>834</v>
      </c>
      <c r="F875">
        <v>691</v>
      </c>
      <c r="G875">
        <f t="shared" si="113"/>
        <v>477</v>
      </c>
      <c r="H875">
        <v>263</v>
      </c>
      <c r="I875">
        <v>999</v>
      </c>
      <c r="J875">
        <v>866</v>
      </c>
      <c r="K875">
        <v>696</v>
      </c>
      <c r="L875">
        <f t="shared" si="114"/>
        <v>590</v>
      </c>
      <c r="M875">
        <v>484</v>
      </c>
      <c r="N875">
        <f t="shared" si="115"/>
        <v>333</v>
      </c>
      <c r="O875">
        <v>181</v>
      </c>
      <c r="P875">
        <v>1017</v>
      </c>
      <c r="Q875">
        <v>913</v>
      </c>
      <c r="R875">
        <v>764</v>
      </c>
      <c r="S875">
        <f t="shared" si="116"/>
        <v>663</v>
      </c>
      <c r="T875">
        <v>561</v>
      </c>
      <c r="U875">
        <f t="shared" si="117"/>
        <v>395</v>
      </c>
      <c r="V875">
        <v>229</v>
      </c>
      <c r="W875">
        <v>749</v>
      </c>
      <c r="X875">
        <v>663</v>
      </c>
      <c r="Y875">
        <v>545</v>
      </c>
      <c r="Z875">
        <f t="shared" si="118"/>
        <v>469</v>
      </c>
      <c r="AA875">
        <v>393</v>
      </c>
      <c r="AB875">
        <f t="shared" si="119"/>
        <v>276</v>
      </c>
      <c r="AC875">
        <v>158</v>
      </c>
    </row>
    <row r="876" spans="1:29" x14ac:dyDescent="0.25">
      <c r="A876" t="s">
        <v>883</v>
      </c>
      <c r="B876">
        <v>1204</v>
      </c>
      <c r="C876">
        <v>1067</v>
      </c>
      <c r="D876">
        <v>877</v>
      </c>
      <c r="E876">
        <f t="shared" si="112"/>
        <v>751</v>
      </c>
      <c r="F876">
        <v>624</v>
      </c>
      <c r="G876">
        <f t="shared" si="113"/>
        <v>431</v>
      </c>
      <c r="H876">
        <v>238</v>
      </c>
      <c r="I876">
        <v>951</v>
      </c>
      <c r="J876">
        <v>825</v>
      </c>
      <c r="K876">
        <v>665</v>
      </c>
      <c r="L876">
        <f t="shared" si="114"/>
        <v>565</v>
      </c>
      <c r="M876">
        <v>464</v>
      </c>
      <c r="N876">
        <f t="shared" si="115"/>
        <v>319</v>
      </c>
      <c r="O876">
        <v>173</v>
      </c>
      <c r="P876">
        <v>903</v>
      </c>
      <c r="Q876">
        <v>816</v>
      </c>
      <c r="R876">
        <v>687</v>
      </c>
      <c r="S876">
        <f t="shared" si="116"/>
        <v>597</v>
      </c>
      <c r="T876">
        <v>507</v>
      </c>
      <c r="U876">
        <f t="shared" si="117"/>
        <v>357</v>
      </c>
      <c r="V876">
        <v>207</v>
      </c>
      <c r="W876">
        <v>713</v>
      </c>
      <c r="X876">
        <v>631</v>
      </c>
      <c r="Y876">
        <v>521</v>
      </c>
      <c r="Z876">
        <f t="shared" si="118"/>
        <v>449</v>
      </c>
      <c r="AA876">
        <v>377</v>
      </c>
      <c r="AB876">
        <f t="shared" si="119"/>
        <v>264</v>
      </c>
      <c r="AC876">
        <v>151</v>
      </c>
    </row>
    <row r="877" spans="1:29" x14ac:dyDescent="0.25">
      <c r="A877" t="s">
        <v>884</v>
      </c>
      <c r="B877">
        <v>1055</v>
      </c>
      <c r="C877">
        <v>933</v>
      </c>
      <c r="D877">
        <v>773</v>
      </c>
      <c r="E877">
        <f t="shared" si="112"/>
        <v>663</v>
      </c>
      <c r="F877">
        <v>553</v>
      </c>
      <c r="G877">
        <f t="shared" si="113"/>
        <v>382</v>
      </c>
      <c r="H877">
        <v>211</v>
      </c>
      <c r="I877">
        <v>909</v>
      </c>
      <c r="J877">
        <v>785</v>
      </c>
      <c r="K877">
        <v>634</v>
      </c>
      <c r="L877">
        <f t="shared" si="114"/>
        <v>539</v>
      </c>
      <c r="M877">
        <v>443</v>
      </c>
      <c r="N877">
        <f t="shared" si="115"/>
        <v>304</v>
      </c>
      <c r="O877">
        <v>164</v>
      </c>
      <c r="P877">
        <v>791</v>
      </c>
      <c r="Q877">
        <v>714</v>
      </c>
      <c r="R877">
        <v>605</v>
      </c>
      <c r="S877">
        <f t="shared" si="116"/>
        <v>527</v>
      </c>
      <c r="T877">
        <v>449</v>
      </c>
      <c r="U877">
        <f t="shared" si="117"/>
        <v>316</v>
      </c>
      <c r="V877">
        <v>183</v>
      </c>
      <c r="W877">
        <v>681</v>
      </c>
      <c r="X877">
        <v>601</v>
      </c>
      <c r="Y877">
        <v>496</v>
      </c>
      <c r="Z877">
        <f t="shared" si="118"/>
        <v>428</v>
      </c>
      <c r="AA877">
        <v>359</v>
      </c>
      <c r="AB877">
        <f t="shared" si="119"/>
        <v>251</v>
      </c>
      <c r="AC877">
        <v>142</v>
      </c>
    </row>
    <row r="878" spans="1:29" x14ac:dyDescent="0.25">
      <c r="A878" t="s">
        <v>885</v>
      </c>
      <c r="B878">
        <v>879</v>
      </c>
      <c r="C878">
        <v>783</v>
      </c>
      <c r="D878">
        <v>652</v>
      </c>
      <c r="E878">
        <f t="shared" si="112"/>
        <v>561</v>
      </c>
      <c r="F878">
        <v>469</v>
      </c>
      <c r="G878">
        <f t="shared" si="113"/>
        <v>323</v>
      </c>
      <c r="H878">
        <v>177</v>
      </c>
      <c r="I878">
        <v>879</v>
      </c>
      <c r="J878">
        <v>742</v>
      </c>
      <c r="K878">
        <v>600</v>
      </c>
      <c r="L878">
        <f t="shared" si="114"/>
        <v>510</v>
      </c>
      <c r="M878">
        <v>419</v>
      </c>
      <c r="N878">
        <f t="shared" si="115"/>
        <v>287</v>
      </c>
      <c r="O878">
        <v>155</v>
      </c>
      <c r="P878">
        <v>659</v>
      </c>
      <c r="Q878">
        <v>599</v>
      </c>
      <c r="R878">
        <v>511</v>
      </c>
      <c r="S878">
        <f t="shared" si="116"/>
        <v>446</v>
      </c>
      <c r="T878">
        <v>381</v>
      </c>
      <c r="U878">
        <f t="shared" si="117"/>
        <v>268</v>
      </c>
      <c r="V878">
        <v>154</v>
      </c>
      <c r="W878">
        <v>659</v>
      </c>
      <c r="X878">
        <v>568</v>
      </c>
      <c r="Y878">
        <v>470</v>
      </c>
      <c r="Z878">
        <f t="shared" si="118"/>
        <v>405</v>
      </c>
      <c r="AA878">
        <v>340</v>
      </c>
      <c r="AB878">
        <f t="shared" si="119"/>
        <v>238</v>
      </c>
      <c r="AC878">
        <v>135</v>
      </c>
    </row>
    <row r="879" spans="1:29" x14ac:dyDescent="0.25">
      <c r="A879" t="s">
        <v>886</v>
      </c>
      <c r="B879">
        <v>828</v>
      </c>
      <c r="C879">
        <v>732</v>
      </c>
      <c r="D879">
        <v>589</v>
      </c>
      <c r="E879">
        <f t="shared" si="112"/>
        <v>501</v>
      </c>
      <c r="F879">
        <v>413</v>
      </c>
      <c r="G879">
        <f t="shared" si="113"/>
        <v>283</v>
      </c>
      <c r="H879">
        <v>152</v>
      </c>
      <c r="I879">
        <v>828</v>
      </c>
      <c r="J879">
        <v>732</v>
      </c>
      <c r="K879">
        <v>589</v>
      </c>
      <c r="L879">
        <f t="shared" si="114"/>
        <v>501</v>
      </c>
      <c r="M879">
        <v>413</v>
      </c>
      <c r="N879">
        <f t="shared" si="115"/>
        <v>283</v>
      </c>
      <c r="O879">
        <v>152</v>
      </c>
      <c r="P879">
        <v>621</v>
      </c>
      <c r="Q879">
        <v>560</v>
      </c>
      <c r="R879">
        <v>461</v>
      </c>
      <c r="S879">
        <f t="shared" si="116"/>
        <v>398</v>
      </c>
      <c r="T879">
        <v>335</v>
      </c>
      <c r="U879">
        <f t="shared" si="117"/>
        <v>234</v>
      </c>
      <c r="V879">
        <v>133</v>
      </c>
      <c r="W879">
        <v>621</v>
      </c>
      <c r="X879">
        <v>560</v>
      </c>
      <c r="Y879">
        <v>461</v>
      </c>
      <c r="Z879">
        <f t="shared" si="118"/>
        <v>398</v>
      </c>
      <c r="AA879">
        <v>335</v>
      </c>
      <c r="AB879">
        <f t="shared" si="119"/>
        <v>234</v>
      </c>
      <c r="AC879">
        <v>133</v>
      </c>
    </row>
    <row r="880" spans="1:29" x14ac:dyDescent="0.25">
      <c r="A880" t="s">
        <v>887</v>
      </c>
      <c r="B880">
        <v>777</v>
      </c>
      <c r="C880">
        <v>690</v>
      </c>
      <c r="D880">
        <v>557</v>
      </c>
      <c r="E880">
        <f t="shared" si="112"/>
        <v>474</v>
      </c>
      <c r="F880">
        <v>391</v>
      </c>
      <c r="G880">
        <f t="shared" si="113"/>
        <v>269</v>
      </c>
      <c r="H880">
        <v>146</v>
      </c>
      <c r="I880">
        <v>777</v>
      </c>
      <c r="J880">
        <v>690</v>
      </c>
      <c r="K880">
        <v>557</v>
      </c>
      <c r="L880">
        <f t="shared" si="114"/>
        <v>474</v>
      </c>
      <c r="M880">
        <v>391</v>
      </c>
      <c r="N880">
        <f t="shared" si="115"/>
        <v>269</v>
      </c>
      <c r="O880">
        <v>146</v>
      </c>
      <c r="P880">
        <v>582</v>
      </c>
      <c r="Q880">
        <v>528</v>
      </c>
      <c r="R880">
        <v>436</v>
      </c>
      <c r="S880">
        <f t="shared" si="116"/>
        <v>377</v>
      </c>
      <c r="T880">
        <v>318</v>
      </c>
      <c r="U880">
        <f t="shared" si="117"/>
        <v>223</v>
      </c>
      <c r="V880">
        <v>127</v>
      </c>
      <c r="W880">
        <v>582</v>
      </c>
      <c r="X880">
        <v>528</v>
      </c>
      <c r="Y880">
        <v>436</v>
      </c>
      <c r="Z880">
        <f t="shared" si="118"/>
        <v>377</v>
      </c>
      <c r="AA880">
        <v>318</v>
      </c>
      <c r="AB880">
        <f t="shared" si="119"/>
        <v>223</v>
      </c>
      <c r="AC880">
        <v>127</v>
      </c>
    </row>
    <row r="881" spans="1:29" x14ac:dyDescent="0.25">
      <c r="A881" t="s">
        <v>888</v>
      </c>
      <c r="B881">
        <v>722</v>
      </c>
      <c r="C881">
        <v>644</v>
      </c>
      <c r="D881">
        <v>528</v>
      </c>
      <c r="E881">
        <f t="shared" si="112"/>
        <v>450</v>
      </c>
      <c r="F881">
        <v>372</v>
      </c>
      <c r="G881">
        <f t="shared" si="113"/>
        <v>254</v>
      </c>
      <c r="H881">
        <v>135</v>
      </c>
      <c r="I881">
        <v>722</v>
      </c>
      <c r="J881">
        <v>644</v>
      </c>
      <c r="K881">
        <v>528</v>
      </c>
      <c r="L881">
        <f t="shared" si="114"/>
        <v>450</v>
      </c>
      <c r="M881">
        <v>372</v>
      </c>
      <c r="N881">
        <f t="shared" si="115"/>
        <v>254</v>
      </c>
      <c r="O881">
        <v>135</v>
      </c>
      <c r="P881">
        <v>541</v>
      </c>
      <c r="Q881">
        <v>492</v>
      </c>
      <c r="R881">
        <v>413</v>
      </c>
      <c r="S881">
        <f t="shared" si="116"/>
        <v>358</v>
      </c>
      <c r="T881">
        <v>302</v>
      </c>
      <c r="U881">
        <f t="shared" si="117"/>
        <v>210</v>
      </c>
      <c r="V881">
        <v>117</v>
      </c>
      <c r="W881">
        <v>541</v>
      </c>
      <c r="X881">
        <v>492</v>
      </c>
      <c r="Y881">
        <v>413</v>
      </c>
      <c r="Z881">
        <f t="shared" si="118"/>
        <v>358</v>
      </c>
      <c r="AA881">
        <v>302</v>
      </c>
      <c r="AB881">
        <f t="shared" si="119"/>
        <v>210</v>
      </c>
      <c r="AC881">
        <v>117</v>
      </c>
    </row>
    <row r="882" spans="1:29" x14ac:dyDescent="0.25">
      <c r="A882" t="s">
        <v>889</v>
      </c>
      <c r="B882">
        <v>1194</v>
      </c>
      <c r="C882">
        <v>1056</v>
      </c>
      <c r="D882">
        <v>867</v>
      </c>
      <c r="E882">
        <f t="shared" si="112"/>
        <v>741</v>
      </c>
      <c r="F882">
        <v>614</v>
      </c>
      <c r="G882">
        <f t="shared" si="113"/>
        <v>424</v>
      </c>
      <c r="H882">
        <v>233</v>
      </c>
      <c r="I882">
        <v>947</v>
      </c>
      <c r="J882">
        <v>822</v>
      </c>
      <c r="K882">
        <v>662</v>
      </c>
      <c r="L882">
        <f t="shared" si="114"/>
        <v>562</v>
      </c>
      <c r="M882">
        <v>461</v>
      </c>
      <c r="N882">
        <f t="shared" si="115"/>
        <v>316</v>
      </c>
      <c r="O882">
        <v>171</v>
      </c>
      <c r="P882">
        <v>895</v>
      </c>
      <c r="Q882">
        <v>808</v>
      </c>
      <c r="R882">
        <v>678</v>
      </c>
      <c r="S882">
        <f t="shared" si="116"/>
        <v>589</v>
      </c>
      <c r="T882">
        <v>499</v>
      </c>
      <c r="U882">
        <f t="shared" si="117"/>
        <v>351</v>
      </c>
      <c r="V882">
        <v>203</v>
      </c>
      <c r="W882">
        <v>710</v>
      </c>
      <c r="X882">
        <v>629</v>
      </c>
      <c r="Y882">
        <v>518</v>
      </c>
      <c r="Z882">
        <f t="shared" si="118"/>
        <v>447</v>
      </c>
      <c r="AA882">
        <v>375</v>
      </c>
      <c r="AB882">
        <f t="shared" si="119"/>
        <v>262</v>
      </c>
      <c r="AC882">
        <v>149</v>
      </c>
    </row>
    <row r="883" spans="1:29" x14ac:dyDescent="0.25">
      <c r="A883" t="s">
        <v>890</v>
      </c>
      <c r="B883">
        <v>1044</v>
      </c>
      <c r="C883">
        <v>921</v>
      </c>
      <c r="D883">
        <v>762</v>
      </c>
      <c r="E883">
        <f t="shared" si="112"/>
        <v>653</v>
      </c>
      <c r="F883">
        <v>544</v>
      </c>
      <c r="G883">
        <f t="shared" si="113"/>
        <v>375</v>
      </c>
      <c r="H883">
        <v>206</v>
      </c>
      <c r="I883">
        <v>906</v>
      </c>
      <c r="J883">
        <v>782</v>
      </c>
      <c r="K883">
        <v>632</v>
      </c>
      <c r="L883">
        <f t="shared" si="114"/>
        <v>536</v>
      </c>
      <c r="M883">
        <v>440</v>
      </c>
      <c r="N883">
        <f t="shared" si="115"/>
        <v>302</v>
      </c>
      <c r="O883">
        <v>163</v>
      </c>
      <c r="P883">
        <v>783</v>
      </c>
      <c r="Q883">
        <v>705</v>
      </c>
      <c r="R883">
        <v>596</v>
      </c>
      <c r="S883">
        <f t="shared" si="116"/>
        <v>519</v>
      </c>
      <c r="T883">
        <v>442</v>
      </c>
      <c r="U883">
        <f t="shared" si="117"/>
        <v>311</v>
      </c>
      <c r="V883">
        <v>180</v>
      </c>
      <c r="W883">
        <v>680</v>
      </c>
      <c r="X883">
        <v>599</v>
      </c>
      <c r="Y883">
        <v>494</v>
      </c>
      <c r="Z883">
        <f t="shared" si="118"/>
        <v>426</v>
      </c>
      <c r="AA883">
        <v>357</v>
      </c>
      <c r="AB883">
        <f t="shared" si="119"/>
        <v>250</v>
      </c>
      <c r="AC883">
        <v>142</v>
      </c>
    </row>
    <row r="884" spans="1:29" x14ac:dyDescent="0.25">
      <c r="A884" t="s">
        <v>891</v>
      </c>
      <c r="B884">
        <v>872</v>
      </c>
      <c r="C884">
        <v>776</v>
      </c>
      <c r="D884">
        <v>646</v>
      </c>
      <c r="E884">
        <f t="shared" si="112"/>
        <v>555</v>
      </c>
      <c r="F884">
        <v>464</v>
      </c>
      <c r="G884">
        <f t="shared" si="113"/>
        <v>320</v>
      </c>
      <c r="H884">
        <v>176</v>
      </c>
      <c r="I884">
        <v>851</v>
      </c>
      <c r="J884">
        <v>740</v>
      </c>
      <c r="K884">
        <v>599</v>
      </c>
      <c r="L884">
        <f t="shared" si="114"/>
        <v>509</v>
      </c>
      <c r="M884">
        <v>418</v>
      </c>
      <c r="N884">
        <f t="shared" si="115"/>
        <v>286</v>
      </c>
      <c r="O884">
        <v>153</v>
      </c>
      <c r="P884">
        <v>653</v>
      </c>
      <c r="Q884">
        <v>594</v>
      </c>
      <c r="R884">
        <v>506</v>
      </c>
      <c r="S884">
        <f t="shared" si="116"/>
        <v>442</v>
      </c>
      <c r="T884">
        <v>377</v>
      </c>
      <c r="U884">
        <f t="shared" si="117"/>
        <v>265</v>
      </c>
      <c r="V884">
        <v>153</v>
      </c>
      <c r="W884">
        <v>637</v>
      </c>
      <c r="X884">
        <v>566</v>
      </c>
      <c r="Y884">
        <v>469</v>
      </c>
      <c r="Z884">
        <f t="shared" si="118"/>
        <v>404</v>
      </c>
      <c r="AA884">
        <v>339</v>
      </c>
      <c r="AB884">
        <f t="shared" si="119"/>
        <v>236</v>
      </c>
      <c r="AC884">
        <v>133</v>
      </c>
    </row>
    <row r="885" spans="1:29" x14ac:dyDescent="0.25">
      <c r="A885" t="s">
        <v>892</v>
      </c>
      <c r="B885">
        <v>819</v>
      </c>
      <c r="C885">
        <v>725</v>
      </c>
      <c r="D885">
        <v>583</v>
      </c>
      <c r="E885">
        <f t="shared" si="112"/>
        <v>495</v>
      </c>
      <c r="F885">
        <v>407</v>
      </c>
      <c r="G885">
        <f t="shared" si="113"/>
        <v>279</v>
      </c>
      <c r="H885">
        <v>150</v>
      </c>
      <c r="I885">
        <v>819</v>
      </c>
      <c r="J885">
        <v>725</v>
      </c>
      <c r="K885">
        <v>583</v>
      </c>
      <c r="L885">
        <f t="shared" si="114"/>
        <v>495</v>
      </c>
      <c r="M885">
        <v>407</v>
      </c>
      <c r="N885">
        <f t="shared" si="115"/>
        <v>279</v>
      </c>
      <c r="O885">
        <v>150</v>
      </c>
      <c r="P885">
        <v>614</v>
      </c>
      <c r="Q885">
        <v>554</v>
      </c>
      <c r="R885">
        <v>456</v>
      </c>
      <c r="S885">
        <f t="shared" si="116"/>
        <v>394</v>
      </c>
      <c r="T885">
        <v>331</v>
      </c>
      <c r="U885">
        <f t="shared" si="117"/>
        <v>231</v>
      </c>
      <c r="V885">
        <v>130</v>
      </c>
      <c r="W885">
        <v>614</v>
      </c>
      <c r="X885">
        <v>554</v>
      </c>
      <c r="Y885">
        <v>456</v>
      </c>
      <c r="Z885">
        <f t="shared" si="118"/>
        <v>394</v>
      </c>
      <c r="AA885">
        <v>331</v>
      </c>
      <c r="AB885">
        <f t="shared" si="119"/>
        <v>231</v>
      </c>
      <c r="AC885">
        <v>130</v>
      </c>
    </row>
    <row r="886" spans="1:29" x14ac:dyDescent="0.25">
      <c r="A886" t="s">
        <v>893</v>
      </c>
      <c r="B886">
        <v>768</v>
      </c>
      <c r="C886">
        <v>682</v>
      </c>
      <c r="D886">
        <v>551</v>
      </c>
      <c r="E886">
        <f t="shared" si="112"/>
        <v>469</v>
      </c>
      <c r="F886">
        <v>387</v>
      </c>
      <c r="G886">
        <f t="shared" si="113"/>
        <v>266</v>
      </c>
      <c r="H886">
        <v>144</v>
      </c>
      <c r="I886">
        <v>768</v>
      </c>
      <c r="J886">
        <v>682</v>
      </c>
      <c r="K886">
        <v>551</v>
      </c>
      <c r="L886">
        <f t="shared" si="114"/>
        <v>469</v>
      </c>
      <c r="M886">
        <v>387</v>
      </c>
      <c r="N886">
        <f t="shared" si="115"/>
        <v>266</v>
      </c>
      <c r="O886">
        <v>144</v>
      </c>
      <c r="P886">
        <v>576</v>
      </c>
      <c r="Q886">
        <v>522</v>
      </c>
      <c r="R886">
        <v>432</v>
      </c>
      <c r="S886">
        <f t="shared" si="116"/>
        <v>374</v>
      </c>
      <c r="T886">
        <v>315</v>
      </c>
      <c r="U886">
        <f t="shared" si="117"/>
        <v>220</v>
      </c>
      <c r="V886">
        <v>125</v>
      </c>
      <c r="W886">
        <v>576</v>
      </c>
      <c r="X886">
        <v>522</v>
      </c>
      <c r="Y886">
        <v>432</v>
      </c>
      <c r="Z886">
        <f t="shared" si="118"/>
        <v>374</v>
      </c>
      <c r="AA886">
        <v>315</v>
      </c>
      <c r="AB886">
        <f t="shared" si="119"/>
        <v>220</v>
      </c>
      <c r="AC886">
        <v>125</v>
      </c>
    </row>
    <row r="887" spans="1:29" x14ac:dyDescent="0.25">
      <c r="A887" t="s">
        <v>894</v>
      </c>
      <c r="B887">
        <v>715</v>
      </c>
      <c r="C887">
        <v>638</v>
      </c>
      <c r="D887">
        <v>523</v>
      </c>
      <c r="E887">
        <f t="shared" si="112"/>
        <v>445</v>
      </c>
      <c r="F887">
        <v>366</v>
      </c>
      <c r="G887">
        <f t="shared" si="113"/>
        <v>251</v>
      </c>
      <c r="H887">
        <v>135</v>
      </c>
      <c r="I887">
        <v>715</v>
      </c>
      <c r="J887">
        <v>638</v>
      </c>
      <c r="K887">
        <v>523</v>
      </c>
      <c r="L887">
        <f t="shared" si="114"/>
        <v>445</v>
      </c>
      <c r="M887">
        <v>366</v>
      </c>
      <c r="N887">
        <f t="shared" si="115"/>
        <v>251</v>
      </c>
      <c r="O887">
        <v>135</v>
      </c>
      <c r="P887">
        <v>536</v>
      </c>
      <c r="Q887">
        <v>488</v>
      </c>
      <c r="R887">
        <v>410</v>
      </c>
      <c r="S887">
        <f t="shared" si="116"/>
        <v>354</v>
      </c>
      <c r="T887">
        <v>297</v>
      </c>
      <c r="U887">
        <f t="shared" si="117"/>
        <v>207</v>
      </c>
      <c r="V887">
        <v>117</v>
      </c>
      <c r="W887">
        <v>536</v>
      </c>
      <c r="X887">
        <v>488</v>
      </c>
      <c r="Y887">
        <v>410</v>
      </c>
      <c r="Z887">
        <f t="shared" si="118"/>
        <v>354</v>
      </c>
      <c r="AA887">
        <v>297</v>
      </c>
      <c r="AB887">
        <f t="shared" si="119"/>
        <v>207</v>
      </c>
      <c r="AC887">
        <v>117</v>
      </c>
    </row>
    <row r="888" spans="1:29" x14ac:dyDescent="0.25">
      <c r="A888" t="s">
        <v>895</v>
      </c>
      <c r="B888">
        <v>658</v>
      </c>
      <c r="C888">
        <v>589</v>
      </c>
      <c r="D888">
        <v>485</v>
      </c>
      <c r="E888">
        <f t="shared" si="112"/>
        <v>414</v>
      </c>
      <c r="F888">
        <v>343</v>
      </c>
      <c r="G888">
        <f t="shared" si="113"/>
        <v>233</v>
      </c>
      <c r="H888">
        <v>123</v>
      </c>
      <c r="I888">
        <v>658</v>
      </c>
      <c r="J888">
        <v>589</v>
      </c>
      <c r="K888">
        <v>485</v>
      </c>
      <c r="L888">
        <f t="shared" si="114"/>
        <v>414</v>
      </c>
      <c r="M888">
        <v>343</v>
      </c>
      <c r="N888">
        <f t="shared" si="115"/>
        <v>233</v>
      </c>
      <c r="O888">
        <v>123</v>
      </c>
      <c r="P888">
        <v>493</v>
      </c>
      <c r="Q888">
        <v>451</v>
      </c>
      <c r="R888">
        <v>379</v>
      </c>
      <c r="S888">
        <f t="shared" si="116"/>
        <v>329</v>
      </c>
      <c r="T888">
        <v>279</v>
      </c>
      <c r="U888">
        <f t="shared" si="117"/>
        <v>193</v>
      </c>
      <c r="V888">
        <v>107</v>
      </c>
      <c r="W888">
        <v>493</v>
      </c>
      <c r="X888">
        <v>451</v>
      </c>
      <c r="Y888">
        <v>379</v>
      </c>
      <c r="Z888">
        <f t="shared" si="118"/>
        <v>329</v>
      </c>
      <c r="AA888">
        <v>279</v>
      </c>
      <c r="AB888">
        <f t="shared" si="119"/>
        <v>193</v>
      </c>
      <c r="AC888">
        <v>107</v>
      </c>
    </row>
    <row r="889" spans="1:29" x14ac:dyDescent="0.25">
      <c r="A889" t="s">
        <v>896</v>
      </c>
      <c r="B889">
        <v>1031</v>
      </c>
      <c r="C889">
        <v>908</v>
      </c>
      <c r="D889">
        <v>749</v>
      </c>
      <c r="E889">
        <f t="shared" si="112"/>
        <v>641</v>
      </c>
      <c r="F889">
        <v>533</v>
      </c>
      <c r="G889">
        <f t="shared" si="113"/>
        <v>367</v>
      </c>
      <c r="H889">
        <v>201</v>
      </c>
      <c r="I889">
        <v>902</v>
      </c>
      <c r="J889">
        <v>777</v>
      </c>
      <c r="K889">
        <v>628</v>
      </c>
      <c r="L889">
        <f t="shared" si="114"/>
        <v>532</v>
      </c>
      <c r="M889">
        <v>436</v>
      </c>
      <c r="N889">
        <f t="shared" si="115"/>
        <v>299</v>
      </c>
      <c r="O889">
        <v>161</v>
      </c>
      <c r="P889">
        <v>773</v>
      </c>
      <c r="Q889">
        <v>695</v>
      </c>
      <c r="R889">
        <v>586</v>
      </c>
      <c r="S889">
        <f t="shared" si="116"/>
        <v>510</v>
      </c>
      <c r="T889">
        <v>433</v>
      </c>
      <c r="U889">
        <f t="shared" si="117"/>
        <v>304</v>
      </c>
      <c r="V889">
        <v>175</v>
      </c>
      <c r="W889">
        <v>676</v>
      </c>
      <c r="X889">
        <v>595</v>
      </c>
      <c r="Y889">
        <v>492</v>
      </c>
      <c r="Z889">
        <f t="shared" si="118"/>
        <v>424</v>
      </c>
      <c r="AA889">
        <v>355</v>
      </c>
      <c r="AB889">
        <f t="shared" si="119"/>
        <v>248</v>
      </c>
      <c r="AC889">
        <v>140</v>
      </c>
    </row>
    <row r="890" spans="1:29" x14ac:dyDescent="0.25">
      <c r="A890" t="s">
        <v>897</v>
      </c>
      <c r="B890">
        <v>863</v>
      </c>
      <c r="C890">
        <v>767</v>
      </c>
      <c r="D890">
        <v>638</v>
      </c>
      <c r="E890">
        <f t="shared" si="112"/>
        <v>548</v>
      </c>
      <c r="F890">
        <v>458</v>
      </c>
      <c r="G890">
        <f t="shared" si="113"/>
        <v>316</v>
      </c>
      <c r="H890">
        <v>173</v>
      </c>
      <c r="I890">
        <v>849</v>
      </c>
      <c r="J890">
        <v>737</v>
      </c>
      <c r="K890">
        <v>597</v>
      </c>
      <c r="L890">
        <f t="shared" si="114"/>
        <v>507</v>
      </c>
      <c r="M890">
        <v>417</v>
      </c>
      <c r="N890">
        <f t="shared" si="115"/>
        <v>285</v>
      </c>
      <c r="O890">
        <v>152</v>
      </c>
      <c r="P890">
        <v>647</v>
      </c>
      <c r="Q890">
        <v>587</v>
      </c>
      <c r="R890">
        <v>499</v>
      </c>
      <c r="S890">
        <f t="shared" si="116"/>
        <v>436</v>
      </c>
      <c r="T890">
        <v>372</v>
      </c>
      <c r="U890">
        <f t="shared" si="117"/>
        <v>262</v>
      </c>
      <c r="V890">
        <v>151</v>
      </c>
      <c r="W890">
        <v>637</v>
      </c>
      <c r="X890">
        <v>564</v>
      </c>
      <c r="Y890">
        <v>467</v>
      </c>
      <c r="Z890">
        <f t="shared" si="118"/>
        <v>403</v>
      </c>
      <c r="AA890">
        <v>338</v>
      </c>
      <c r="AB890">
        <f t="shared" si="119"/>
        <v>236</v>
      </c>
      <c r="AC890">
        <v>133</v>
      </c>
    </row>
    <row r="891" spans="1:29" x14ac:dyDescent="0.25">
      <c r="A891" t="s">
        <v>898</v>
      </c>
      <c r="B891">
        <v>811</v>
      </c>
      <c r="C891">
        <v>717</v>
      </c>
      <c r="D891">
        <v>576</v>
      </c>
      <c r="E891">
        <f t="shared" si="112"/>
        <v>489</v>
      </c>
      <c r="F891">
        <v>402</v>
      </c>
      <c r="G891">
        <f t="shared" si="113"/>
        <v>275</v>
      </c>
      <c r="H891">
        <v>148</v>
      </c>
      <c r="I891">
        <v>811</v>
      </c>
      <c r="J891">
        <v>717</v>
      </c>
      <c r="K891">
        <v>576</v>
      </c>
      <c r="L891">
        <f t="shared" si="114"/>
        <v>489</v>
      </c>
      <c r="M891">
        <v>402</v>
      </c>
      <c r="N891">
        <f t="shared" si="115"/>
        <v>275</v>
      </c>
      <c r="O891">
        <v>148</v>
      </c>
      <c r="P891">
        <v>608</v>
      </c>
      <c r="Q891">
        <v>549</v>
      </c>
      <c r="R891">
        <v>451</v>
      </c>
      <c r="S891">
        <f t="shared" si="116"/>
        <v>389</v>
      </c>
      <c r="T891">
        <v>327</v>
      </c>
      <c r="U891">
        <f t="shared" si="117"/>
        <v>228</v>
      </c>
      <c r="V891">
        <v>129</v>
      </c>
      <c r="W891">
        <v>608</v>
      </c>
      <c r="X891">
        <v>549</v>
      </c>
      <c r="Y891">
        <v>451</v>
      </c>
      <c r="Z891">
        <f t="shared" si="118"/>
        <v>389</v>
      </c>
      <c r="AA891">
        <v>327</v>
      </c>
      <c r="AB891">
        <f t="shared" si="119"/>
        <v>228</v>
      </c>
      <c r="AC891">
        <v>129</v>
      </c>
    </row>
    <row r="892" spans="1:29" x14ac:dyDescent="0.25">
      <c r="A892" t="s">
        <v>899</v>
      </c>
      <c r="B892">
        <v>760</v>
      </c>
      <c r="C892">
        <v>675</v>
      </c>
      <c r="D892">
        <v>545</v>
      </c>
      <c r="E892">
        <f t="shared" si="112"/>
        <v>464</v>
      </c>
      <c r="F892">
        <v>382</v>
      </c>
      <c r="G892">
        <f t="shared" si="113"/>
        <v>262</v>
      </c>
      <c r="H892">
        <v>141</v>
      </c>
      <c r="I892">
        <v>760</v>
      </c>
      <c r="J892">
        <v>675</v>
      </c>
      <c r="K892">
        <v>545</v>
      </c>
      <c r="L892">
        <f t="shared" si="114"/>
        <v>464</v>
      </c>
      <c r="M892">
        <v>382</v>
      </c>
      <c r="N892">
        <f t="shared" si="115"/>
        <v>262</v>
      </c>
      <c r="O892">
        <v>141</v>
      </c>
      <c r="P892">
        <v>570</v>
      </c>
      <c r="Q892">
        <v>516</v>
      </c>
      <c r="R892">
        <v>427</v>
      </c>
      <c r="S892">
        <f t="shared" si="116"/>
        <v>369</v>
      </c>
      <c r="T892">
        <v>311</v>
      </c>
      <c r="U892">
        <f t="shared" si="117"/>
        <v>217</v>
      </c>
      <c r="V892">
        <v>122</v>
      </c>
      <c r="W892">
        <v>570</v>
      </c>
      <c r="X892">
        <v>516</v>
      </c>
      <c r="Y892">
        <v>427</v>
      </c>
      <c r="Z892">
        <f t="shared" si="118"/>
        <v>369</v>
      </c>
      <c r="AA892">
        <v>311</v>
      </c>
      <c r="AB892">
        <f t="shared" si="119"/>
        <v>217</v>
      </c>
      <c r="AC892">
        <v>122</v>
      </c>
    </row>
    <row r="893" spans="1:29" x14ac:dyDescent="0.25">
      <c r="A893" t="s">
        <v>900</v>
      </c>
      <c r="B893">
        <v>707</v>
      </c>
      <c r="C893">
        <v>630</v>
      </c>
      <c r="D893">
        <v>517</v>
      </c>
      <c r="E893">
        <f t="shared" si="112"/>
        <v>439</v>
      </c>
      <c r="F893">
        <v>361</v>
      </c>
      <c r="G893">
        <f t="shared" si="113"/>
        <v>248</v>
      </c>
      <c r="H893">
        <v>134</v>
      </c>
      <c r="I893">
        <v>707</v>
      </c>
      <c r="J893">
        <v>630</v>
      </c>
      <c r="K893">
        <v>517</v>
      </c>
      <c r="L893">
        <f t="shared" si="114"/>
        <v>439</v>
      </c>
      <c r="M893">
        <v>361</v>
      </c>
      <c r="N893">
        <f t="shared" si="115"/>
        <v>248</v>
      </c>
      <c r="O893">
        <v>134</v>
      </c>
      <c r="P893">
        <v>530</v>
      </c>
      <c r="Q893">
        <v>482</v>
      </c>
      <c r="R893">
        <v>405</v>
      </c>
      <c r="S893">
        <f t="shared" si="116"/>
        <v>349</v>
      </c>
      <c r="T893">
        <v>293</v>
      </c>
      <c r="U893">
        <f t="shared" si="117"/>
        <v>205</v>
      </c>
      <c r="V893">
        <v>117</v>
      </c>
      <c r="W893">
        <v>530</v>
      </c>
      <c r="X893">
        <v>482</v>
      </c>
      <c r="Y893">
        <v>405</v>
      </c>
      <c r="Z893">
        <f t="shared" si="118"/>
        <v>349</v>
      </c>
      <c r="AA893">
        <v>293</v>
      </c>
      <c r="AB893">
        <f t="shared" si="119"/>
        <v>205</v>
      </c>
      <c r="AC893">
        <v>117</v>
      </c>
    </row>
    <row r="894" spans="1:29" x14ac:dyDescent="0.25">
      <c r="A894" t="s">
        <v>901</v>
      </c>
      <c r="B894">
        <v>653</v>
      </c>
      <c r="C894">
        <v>585</v>
      </c>
      <c r="D894">
        <v>482</v>
      </c>
      <c r="E894">
        <f t="shared" si="112"/>
        <v>412</v>
      </c>
      <c r="F894">
        <v>342</v>
      </c>
      <c r="G894">
        <f t="shared" si="113"/>
        <v>233</v>
      </c>
      <c r="H894">
        <v>124</v>
      </c>
      <c r="I894">
        <v>653</v>
      </c>
      <c r="J894">
        <v>585</v>
      </c>
      <c r="K894">
        <v>482</v>
      </c>
      <c r="L894">
        <f t="shared" si="114"/>
        <v>412</v>
      </c>
      <c r="M894">
        <v>342</v>
      </c>
      <c r="N894">
        <f t="shared" si="115"/>
        <v>233</v>
      </c>
      <c r="O894">
        <v>124</v>
      </c>
      <c r="P894">
        <v>489</v>
      </c>
      <c r="Q894">
        <v>447</v>
      </c>
      <c r="R894">
        <v>377</v>
      </c>
      <c r="S894">
        <f t="shared" si="116"/>
        <v>328</v>
      </c>
      <c r="T894">
        <v>278</v>
      </c>
      <c r="U894">
        <f t="shared" si="117"/>
        <v>193</v>
      </c>
      <c r="V894">
        <v>108</v>
      </c>
      <c r="W894">
        <v>489</v>
      </c>
      <c r="X894">
        <v>447</v>
      </c>
      <c r="Y894">
        <v>377</v>
      </c>
      <c r="Z894">
        <f t="shared" si="118"/>
        <v>328</v>
      </c>
      <c r="AA894">
        <v>278</v>
      </c>
      <c r="AB894">
        <f t="shared" si="119"/>
        <v>193</v>
      </c>
      <c r="AC894">
        <v>108</v>
      </c>
    </row>
    <row r="895" spans="1:29" x14ac:dyDescent="0.25">
      <c r="A895" t="s">
        <v>902</v>
      </c>
      <c r="B895">
        <v>592</v>
      </c>
      <c r="C895">
        <v>532</v>
      </c>
      <c r="D895">
        <v>441</v>
      </c>
      <c r="E895">
        <f t="shared" si="112"/>
        <v>377</v>
      </c>
      <c r="F895">
        <v>313</v>
      </c>
      <c r="G895">
        <f t="shared" si="113"/>
        <v>213</v>
      </c>
      <c r="H895">
        <v>112</v>
      </c>
      <c r="I895">
        <v>592</v>
      </c>
      <c r="J895">
        <v>532</v>
      </c>
      <c r="K895">
        <v>441</v>
      </c>
      <c r="L895">
        <f t="shared" si="114"/>
        <v>377</v>
      </c>
      <c r="M895">
        <v>313</v>
      </c>
      <c r="N895">
        <f t="shared" si="115"/>
        <v>213</v>
      </c>
      <c r="O895">
        <v>112</v>
      </c>
      <c r="P895">
        <v>444</v>
      </c>
      <c r="Q895">
        <v>407</v>
      </c>
      <c r="R895">
        <v>345</v>
      </c>
      <c r="S895">
        <f t="shared" si="116"/>
        <v>300</v>
      </c>
      <c r="T895">
        <v>255</v>
      </c>
      <c r="U895">
        <f t="shared" si="117"/>
        <v>177</v>
      </c>
      <c r="V895">
        <v>98</v>
      </c>
      <c r="W895">
        <v>444</v>
      </c>
      <c r="X895">
        <v>407</v>
      </c>
      <c r="Y895">
        <v>345</v>
      </c>
      <c r="Z895">
        <f t="shared" si="118"/>
        <v>300</v>
      </c>
      <c r="AA895">
        <v>255</v>
      </c>
      <c r="AB895">
        <f t="shared" si="119"/>
        <v>177</v>
      </c>
      <c r="AC895">
        <v>98</v>
      </c>
    </row>
    <row r="896" spans="1:29" x14ac:dyDescent="0.25">
      <c r="A896" t="s">
        <v>903</v>
      </c>
      <c r="B896">
        <v>854</v>
      </c>
      <c r="C896">
        <v>759</v>
      </c>
      <c r="D896">
        <v>624</v>
      </c>
      <c r="E896">
        <f t="shared" si="112"/>
        <v>535</v>
      </c>
      <c r="F896">
        <v>446</v>
      </c>
      <c r="G896">
        <f t="shared" si="113"/>
        <v>308</v>
      </c>
      <c r="H896">
        <v>169</v>
      </c>
      <c r="I896">
        <v>854</v>
      </c>
      <c r="J896">
        <v>736</v>
      </c>
      <c r="K896">
        <v>592</v>
      </c>
      <c r="L896">
        <f t="shared" si="114"/>
        <v>502</v>
      </c>
      <c r="M896">
        <v>412</v>
      </c>
      <c r="N896">
        <f t="shared" si="115"/>
        <v>282</v>
      </c>
      <c r="O896">
        <v>152</v>
      </c>
      <c r="P896">
        <v>640</v>
      </c>
      <c r="Q896">
        <v>580</v>
      </c>
      <c r="R896">
        <v>489</v>
      </c>
      <c r="S896">
        <f t="shared" si="116"/>
        <v>426</v>
      </c>
      <c r="T896">
        <v>363</v>
      </c>
      <c r="U896">
        <f t="shared" si="117"/>
        <v>255</v>
      </c>
      <c r="V896">
        <v>147</v>
      </c>
      <c r="W896">
        <v>640</v>
      </c>
      <c r="X896">
        <v>563</v>
      </c>
      <c r="Y896">
        <v>464</v>
      </c>
      <c r="Z896">
        <f t="shared" si="118"/>
        <v>400</v>
      </c>
      <c r="AA896">
        <v>335</v>
      </c>
      <c r="AB896">
        <f t="shared" si="119"/>
        <v>234</v>
      </c>
      <c r="AC896">
        <v>132</v>
      </c>
    </row>
    <row r="897" spans="1:29" x14ac:dyDescent="0.25">
      <c r="A897" t="s">
        <v>904</v>
      </c>
      <c r="B897">
        <v>803</v>
      </c>
      <c r="C897">
        <v>709</v>
      </c>
      <c r="D897">
        <v>569</v>
      </c>
      <c r="E897">
        <f t="shared" si="112"/>
        <v>483</v>
      </c>
      <c r="F897">
        <v>397</v>
      </c>
      <c r="G897">
        <f t="shared" si="113"/>
        <v>272</v>
      </c>
      <c r="H897">
        <v>146</v>
      </c>
      <c r="I897">
        <v>803</v>
      </c>
      <c r="J897">
        <v>709</v>
      </c>
      <c r="K897">
        <v>569</v>
      </c>
      <c r="L897">
        <f t="shared" si="114"/>
        <v>483</v>
      </c>
      <c r="M897">
        <v>397</v>
      </c>
      <c r="N897">
        <f t="shared" si="115"/>
        <v>272</v>
      </c>
      <c r="O897">
        <v>146</v>
      </c>
      <c r="P897">
        <v>602</v>
      </c>
      <c r="Q897">
        <v>542</v>
      </c>
      <c r="R897">
        <v>446</v>
      </c>
      <c r="S897">
        <f t="shared" si="116"/>
        <v>385</v>
      </c>
      <c r="T897">
        <v>323</v>
      </c>
      <c r="U897">
        <f t="shared" si="117"/>
        <v>225</v>
      </c>
      <c r="V897">
        <v>127</v>
      </c>
      <c r="W897">
        <v>602</v>
      </c>
      <c r="X897">
        <v>542</v>
      </c>
      <c r="Y897">
        <v>446</v>
      </c>
      <c r="Z897">
        <f t="shared" si="118"/>
        <v>385</v>
      </c>
      <c r="AA897">
        <v>323</v>
      </c>
      <c r="AB897">
        <f t="shared" si="119"/>
        <v>225</v>
      </c>
      <c r="AC897">
        <v>127</v>
      </c>
    </row>
    <row r="898" spans="1:29" x14ac:dyDescent="0.25">
      <c r="A898" t="s">
        <v>905</v>
      </c>
      <c r="B898">
        <v>750</v>
      </c>
      <c r="C898">
        <v>666</v>
      </c>
      <c r="D898">
        <v>538</v>
      </c>
      <c r="E898">
        <f t="shared" si="112"/>
        <v>458</v>
      </c>
      <c r="F898">
        <v>377</v>
      </c>
      <c r="G898">
        <f t="shared" si="113"/>
        <v>258</v>
      </c>
      <c r="H898">
        <v>138</v>
      </c>
      <c r="I898">
        <v>750</v>
      </c>
      <c r="J898">
        <v>666</v>
      </c>
      <c r="K898">
        <v>538</v>
      </c>
      <c r="L898">
        <f t="shared" si="114"/>
        <v>458</v>
      </c>
      <c r="M898">
        <v>377</v>
      </c>
      <c r="N898">
        <f t="shared" si="115"/>
        <v>258</v>
      </c>
      <c r="O898">
        <v>138</v>
      </c>
      <c r="P898">
        <v>562</v>
      </c>
      <c r="Q898">
        <v>509</v>
      </c>
      <c r="R898">
        <v>421</v>
      </c>
      <c r="S898">
        <f t="shared" si="116"/>
        <v>364</v>
      </c>
      <c r="T898">
        <v>307</v>
      </c>
      <c r="U898">
        <f t="shared" si="117"/>
        <v>214</v>
      </c>
      <c r="V898">
        <v>120</v>
      </c>
      <c r="W898">
        <v>562</v>
      </c>
      <c r="X898">
        <v>509</v>
      </c>
      <c r="Y898">
        <v>421</v>
      </c>
      <c r="Z898">
        <f t="shared" si="118"/>
        <v>364</v>
      </c>
      <c r="AA898">
        <v>307</v>
      </c>
      <c r="AB898">
        <f t="shared" si="119"/>
        <v>214</v>
      </c>
      <c r="AC898">
        <v>120</v>
      </c>
    </row>
    <row r="899" spans="1:29" x14ac:dyDescent="0.25">
      <c r="A899" t="s">
        <v>906</v>
      </c>
      <c r="B899">
        <v>699</v>
      </c>
      <c r="C899">
        <v>622</v>
      </c>
      <c r="D899">
        <v>510</v>
      </c>
      <c r="E899">
        <f t="shared" si="112"/>
        <v>433</v>
      </c>
      <c r="F899">
        <v>356</v>
      </c>
      <c r="G899">
        <f t="shared" si="113"/>
        <v>244</v>
      </c>
      <c r="H899">
        <v>132</v>
      </c>
      <c r="I899">
        <v>699</v>
      </c>
      <c r="J899">
        <v>622</v>
      </c>
      <c r="K899">
        <v>510</v>
      </c>
      <c r="L899">
        <f t="shared" si="114"/>
        <v>433</v>
      </c>
      <c r="M899">
        <v>356</v>
      </c>
      <c r="N899">
        <f t="shared" si="115"/>
        <v>244</v>
      </c>
      <c r="O899">
        <v>132</v>
      </c>
      <c r="P899">
        <v>524</v>
      </c>
      <c r="Q899">
        <v>476</v>
      </c>
      <c r="R899">
        <v>399</v>
      </c>
      <c r="S899">
        <f t="shared" si="116"/>
        <v>344</v>
      </c>
      <c r="T899">
        <v>289</v>
      </c>
      <c r="U899">
        <f t="shared" si="117"/>
        <v>202</v>
      </c>
      <c r="V899">
        <v>115</v>
      </c>
      <c r="W899">
        <v>524</v>
      </c>
      <c r="X899">
        <v>476</v>
      </c>
      <c r="Y899">
        <v>399</v>
      </c>
      <c r="Z899">
        <f t="shared" si="118"/>
        <v>344</v>
      </c>
      <c r="AA899">
        <v>289</v>
      </c>
      <c r="AB899">
        <f t="shared" si="119"/>
        <v>202</v>
      </c>
      <c r="AC899">
        <v>115</v>
      </c>
    </row>
    <row r="900" spans="1:29" x14ac:dyDescent="0.25">
      <c r="A900" t="s">
        <v>907</v>
      </c>
      <c r="B900">
        <v>645</v>
      </c>
      <c r="C900">
        <v>576</v>
      </c>
      <c r="D900">
        <v>476</v>
      </c>
      <c r="E900">
        <f t="shared" si="112"/>
        <v>408</v>
      </c>
      <c r="F900">
        <v>339</v>
      </c>
      <c r="G900">
        <f t="shared" si="113"/>
        <v>232</v>
      </c>
      <c r="H900">
        <v>124</v>
      </c>
      <c r="I900">
        <v>645</v>
      </c>
      <c r="J900">
        <v>576</v>
      </c>
      <c r="K900">
        <v>476</v>
      </c>
      <c r="L900">
        <f t="shared" si="114"/>
        <v>408</v>
      </c>
      <c r="M900">
        <v>339</v>
      </c>
      <c r="N900">
        <f t="shared" si="115"/>
        <v>232</v>
      </c>
      <c r="O900">
        <v>124</v>
      </c>
      <c r="P900">
        <v>483</v>
      </c>
      <c r="Q900">
        <v>441</v>
      </c>
      <c r="R900">
        <v>372</v>
      </c>
      <c r="S900">
        <f t="shared" si="116"/>
        <v>324</v>
      </c>
      <c r="T900">
        <v>275</v>
      </c>
      <c r="U900">
        <f t="shared" si="117"/>
        <v>192</v>
      </c>
      <c r="V900">
        <v>108</v>
      </c>
      <c r="W900">
        <v>483</v>
      </c>
      <c r="X900">
        <v>441</v>
      </c>
      <c r="Y900">
        <v>372</v>
      </c>
      <c r="Z900">
        <f t="shared" si="118"/>
        <v>324</v>
      </c>
      <c r="AA900">
        <v>275</v>
      </c>
      <c r="AB900">
        <f t="shared" si="119"/>
        <v>192</v>
      </c>
      <c r="AC900">
        <v>108</v>
      </c>
    </row>
    <row r="901" spans="1:29" x14ac:dyDescent="0.25">
      <c r="A901" t="s">
        <v>908</v>
      </c>
      <c r="B901">
        <v>587</v>
      </c>
      <c r="C901">
        <v>527</v>
      </c>
      <c r="D901">
        <v>437</v>
      </c>
      <c r="E901">
        <f t="shared" ref="E901:E924" si="120">ROUND((D901+F901)/2,0)</f>
        <v>374</v>
      </c>
      <c r="F901">
        <v>311</v>
      </c>
      <c r="G901">
        <f t="shared" ref="G901:G924" si="121">ROUND((F901+H901)/2,0)</f>
        <v>212</v>
      </c>
      <c r="H901">
        <v>112</v>
      </c>
      <c r="I901">
        <v>587</v>
      </c>
      <c r="J901">
        <v>527</v>
      </c>
      <c r="K901">
        <v>437</v>
      </c>
      <c r="L901">
        <f t="shared" ref="L901:L924" si="122">ROUND((K901+M901)/2,0)</f>
        <v>374</v>
      </c>
      <c r="M901">
        <v>311</v>
      </c>
      <c r="N901">
        <f t="shared" ref="N901:N924" si="123">ROUND((M901+O901)/2,0)</f>
        <v>212</v>
      </c>
      <c r="O901">
        <v>112</v>
      </c>
      <c r="P901">
        <v>440</v>
      </c>
      <c r="Q901">
        <v>404</v>
      </c>
      <c r="R901">
        <v>342</v>
      </c>
      <c r="S901">
        <f t="shared" ref="S901:S924" si="124">ROUND((R901+T901)/2,0)</f>
        <v>298</v>
      </c>
      <c r="T901">
        <v>253</v>
      </c>
      <c r="U901">
        <f t="shared" ref="U901:U924" si="125">ROUND((T901+V901)/2,0)</f>
        <v>176</v>
      </c>
      <c r="V901">
        <v>98</v>
      </c>
      <c r="W901">
        <v>440</v>
      </c>
      <c r="X901">
        <v>404</v>
      </c>
      <c r="Y901">
        <v>342</v>
      </c>
      <c r="Z901">
        <f t="shared" ref="Z901:Z924" si="126">ROUND((Y901+AA901)/2,0)</f>
        <v>298</v>
      </c>
      <c r="AA901">
        <v>253</v>
      </c>
      <c r="AB901">
        <f t="shared" ref="AB901:AB924" si="127">ROUND((AA901+AC901)/2,0)</f>
        <v>176</v>
      </c>
      <c r="AC901">
        <v>98</v>
      </c>
    </row>
    <row r="902" spans="1:29" x14ac:dyDescent="0.25">
      <c r="A902" t="s">
        <v>909</v>
      </c>
      <c r="B902">
        <v>525</v>
      </c>
      <c r="C902">
        <v>474</v>
      </c>
      <c r="D902">
        <v>394</v>
      </c>
      <c r="E902">
        <f t="shared" si="120"/>
        <v>338</v>
      </c>
      <c r="F902">
        <v>282</v>
      </c>
      <c r="G902">
        <f t="shared" si="121"/>
        <v>192</v>
      </c>
      <c r="H902">
        <v>102</v>
      </c>
      <c r="I902">
        <v>525</v>
      </c>
      <c r="J902">
        <v>474</v>
      </c>
      <c r="K902">
        <v>394</v>
      </c>
      <c r="L902">
        <f t="shared" si="122"/>
        <v>338</v>
      </c>
      <c r="M902">
        <v>282</v>
      </c>
      <c r="N902">
        <f t="shared" si="123"/>
        <v>192</v>
      </c>
      <c r="O902">
        <v>102</v>
      </c>
      <c r="P902">
        <v>393</v>
      </c>
      <c r="Q902">
        <v>363</v>
      </c>
      <c r="R902">
        <v>309</v>
      </c>
      <c r="S902">
        <f t="shared" si="124"/>
        <v>269</v>
      </c>
      <c r="T902">
        <v>229</v>
      </c>
      <c r="U902">
        <f t="shared" si="125"/>
        <v>159</v>
      </c>
      <c r="V902">
        <v>88</v>
      </c>
      <c r="W902">
        <v>393</v>
      </c>
      <c r="X902">
        <v>363</v>
      </c>
      <c r="Y902">
        <v>309</v>
      </c>
      <c r="Z902">
        <f t="shared" si="126"/>
        <v>269</v>
      </c>
      <c r="AA902">
        <v>229</v>
      </c>
      <c r="AB902">
        <f t="shared" si="127"/>
        <v>159</v>
      </c>
      <c r="AC902">
        <v>88</v>
      </c>
    </row>
    <row r="903" spans="1:29" x14ac:dyDescent="0.25">
      <c r="A903" t="s">
        <v>910</v>
      </c>
      <c r="B903">
        <v>793</v>
      </c>
      <c r="C903">
        <v>700</v>
      </c>
      <c r="D903">
        <v>562</v>
      </c>
      <c r="E903">
        <f t="shared" si="120"/>
        <v>477</v>
      </c>
      <c r="F903">
        <v>391</v>
      </c>
      <c r="G903">
        <f t="shared" si="121"/>
        <v>267</v>
      </c>
      <c r="H903">
        <v>143</v>
      </c>
      <c r="I903">
        <v>793</v>
      </c>
      <c r="J903">
        <v>700</v>
      </c>
      <c r="K903">
        <v>562</v>
      </c>
      <c r="L903">
        <f t="shared" si="122"/>
        <v>477</v>
      </c>
      <c r="M903">
        <v>391</v>
      </c>
      <c r="N903">
        <f t="shared" si="123"/>
        <v>267</v>
      </c>
      <c r="O903">
        <v>143</v>
      </c>
      <c r="P903">
        <v>595</v>
      </c>
      <c r="Q903">
        <v>535</v>
      </c>
      <c r="R903">
        <v>440</v>
      </c>
      <c r="S903">
        <f t="shared" si="124"/>
        <v>379</v>
      </c>
      <c r="T903">
        <v>318</v>
      </c>
      <c r="U903">
        <f t="shared" si="125"/>
        <v>222</v>
      </c>
      <c r="V903">
        <v>125</v>
      </c>
      <c r="W903">
        <v>595</v>
      </c>
      <c r="X903">
        <v>535</v>
      </c>
      <c r="Y903">
        <v>440</v>
      </c>
      <c r="Z903">
        <f t="shared" si="126"/>
        <v>379</v>
      </c>
      <c r="AA903">
        <v>318</v>
      </c>
      <c r="AB903">
        <f t="shared" si="127"/>
        <v>222</v>
      </c>
      <c r="AC903">
        <v>125</v>
      </c>
    </row>
    <row r="904" spans="1:29" x14ac:dyDescent="0.25">
      <c r="A904" t="s">
        <v>911</v>
      </c>
      <c r="B904">
        <v>741</v>
      </c>
      <c r="C904">
        <v>657</v>
      </c>
      <c r="D904">
        <v>537</v>
      </c>
      <c r="E904">
        <f t="shared" si="120"/>
        <v>454</v>
      </c>
      <c r="F904">
        <v>371</v>
      </c>
      <c r="G904">
        <f t="shared" si="121"/>
        <v>254</v>
      </c>
      <c r="H904">
        <v>136</v>
      </c>
      <c r="I904">
        <v>741</v>
      </c>
      <c r="J904">
        <v>657</v>
      </c>
      <c r="K904">
        <v>537</v>
      </c>
      <c r="L904">
        <f t="shared" si="122"/>
        <v>454</v>
      </c>
      <c r="M904">
        <v>371</v>
      </c>
      <c r="N904">
        <f t="shared" si="123"/>
        <v>254</v>
      </c>
      <c r="O904">
        <v>136</v>
      </c>
      <c r="P904">
        <v>555</v>
      </c>
      <c r="Q904">
        <v>503</v>
      </c>
      <c r="R904">
        <v>420</v>
      </c>
      <c r="S904">
        <f t="shared" si="124"/>
        <v>361</v>
      </c>
      <c r="T904">
        <v>301</v>
      </c>
      <c r="U904">
        <f t="shared" si="125"/>
        <v>210</v>
      </c>
      <c r="V904">
        <v>118</v>
      </c>
      <c r="W904">
        <v>555</v>
      </c>
      <c r="X904">
        <v>503</v>
      </c>
      <c r="Y904">
        <v>420</v>
      </c>
      <c r="Z904">
        <f t="shared" si="126"/>
        <v>361</v>
      </c>
      <c r="AA904">
        <v>301</v>
      </c>
      <c r="AB904">
        <f t="shared" si="127"/>
        <v>210</v>
      </c>
      <c r="AC904">
        <v>118</v>
      </c>
    </row>
    <row r="905" spans="1:29" x14ac:dyDescent="0.25">
      <c r="A905" t="s">
        <v>912</v>
      </c>
      <c r="B905">
        <v>689</v>
      </c>
      <c r="C905">
        <v>613</v>
      </c>
      <c r="D905">
        <v>503</v>
      </c>
      <c r="E905">
        <f t="shared" si="120"/>
        <v>427</v>
      </c>
      <c r="F905">
        <v>351</v>
      </c>
      <c r="G905">
        <f t="shared" si="121"/>
        <v>241</v>
      </c>
      <c r="H905">
        <v>131</v>
      </c>
      <c r="I905">
        <v>689</v>
      </c>
      <c r="J905">
        <v>613</v>
      </c>
      <c r="K905">
        <v>503</v>
      </c>
      <c r="L905">
        <f t="shared" si="122"/>
        <v>427</v>
      </c>
      <c r="M905">
        <v>351</v>
      </c>
      <c r="N905">
        <f t="shared" si="123"/>
        <v>241</v>
      </c>
      <c r="O905">
        <v>131</v>
      </c>
      <c r="P905">
        <v>517</v>
      </c>
      <c r="Q905">
        <v>469</v>
      </c>
      <c r="R905">
        <v>393</v>
      </c>
      <c r="S905">
        <f t="shared" si="124"/>
        <v>339</v>
      </c>
      <c r="T905">
        <v>285</v>
      </c>
      <c r="U905">
        <f t="shared" si="125"/>
        <v>200</v>
      </c>
      <c r="V905">
        <v>114</v>
      </c>
      <c r="W905">
        <v>517</v>
      </c>
      <c r="X905">
        <v>469</v>
      </c>
      <c r="Y905">
        <v>393</v>
      </c>
      <c r="Z905">
        <f t="shared" si="126"/>
        <v>339</v>
      </c>
      <c r="AA905">
        <v>285</v>
      </c>
      <c r="AB905">
        <f t="shared" si="127"/>
        <v>200</v>
      </c>
      <c r="AC905">
        <v>114</v>
      </c>
    </row>
    <row r="906" spans="1:29" x14ac:dyDescent="0.25">
      <c r="A906" t="s">
        <v>913</v>
      </c>
      <c r="B906">
        <v>636</v>
      </c>
      <c r="C906">
        <v>569</v>
      </c>
      <c r="D906">
        <v>468</v>
      </c>
      <c r="E906">
        <f t="shared" si="120"/>
        <v>401</v>
      </c>
      <c r="F906">
        <v>333</v>
      </c>
      <c r="G906">
        <f t="shared" si="121"/>
        <v>228</v>
      </c>
      <c r="H906">
        <v>122</v>
      </c>
      <c r="I906">
        <v>636</v>
      </c>
      <c r="J906">
        <v>569</v>
      </c>
      <c r="K906">
        <v>468</v>
      </c>
      <c r="L906">
        <f t="shared" si="122"/>
        <v>401</v>
      </c>
      <c r="M906">
        <v>333</v>
      </c>
      <c r="N906">
        <f t="shared" si="123"/>
        <v>228</v>
      </c>
      <c r="O906">
        <v>122</v>
      </c>
      <c r="P906">
        <v>477</v>
      </c>
      <c r="Q906">
        <v>435</v>
      </c>
      <c r="R906">
        <v>367</v>
      </c>
      <c r="S906">
        <f t="shared" si="124"/>
        <v>319</v>
      </c>
      <c r="T906">
        <v>271</v>
      </c>
      <c r="U906">
        <f t="shared" si="125"/>
        <v>189</v>
      </c>
      <c r="V906">
        <v>107</v>
      </c>
      <c r="W906">
        <v>477</v>
      </c>
      <c r="X906">
        <v>435</v>
      </c>
      <c r="Y906">
        <v>367</v>
      </c>
      <c r="Z906">
        <f t="shared" si="126"/>
        <v>319</v>
      </c>
      <c r="AA906">
        <v>271</v>
      </c>
      <c r="AB906">
        <f t="shared" si="127"/>
        <v>189</v>
      </c>
      <c r="AC906">
        <v>107</v>
      </c>
    </row>
    <row r="907" spans="1:29" x14ac:dyDescent="0.25">
      <c r="A907" t="s">
        <v>914</v>
      </c>
      <c r="B907">
        <v>581</v>
      </c>
      <c r="C907">
        <v>522</v>
      </c>
      <c r="D907">
        <v>432</v>
      </c>
      <c r="E907">
        <f t="shared" si="120"/>
        <v>371</v>
      </c>
      <c r="F907">
        <v>310</v>
      </c>
      <c r="G907">
        <f t="shared" si="121"/>
        <v>211</v>
      </c>
      <c r="H907">
        <v>112</v>
      </c>
      <c r="I907">
        <v>581</v>
      </c>
      <c r="J907">
        <v>522</v>
      </c>
      <c r="K907">
        <v>432</v>
      </c>
      <c r="L907">
        <f t="shared" si="122"/>
        <v>371</v>
      </c>
      <c r="M907">
        <v>310</v>
      </c>
      <c r="N907">
        <f t="shared" si="123"/>
        <v>211</v>
      </c>
      <c r="O907">
        <v>112</v>
      </c>
      <c r="P907">
        <v>436</v>
      </c>
      <c r="Q907">
        <v>399</v>
      </c>
      <c r="R907">
        <v>338</v>
      </c>
      <c r="S907">
        <f t="shared" si="124"/>
        <v>295</v>
      </c>
      <c r="T907">
        <v>252</v>
      </c>
      <c r="U907">
        <f t="shared" si="125"/>
        <v>175</v>
      </c>
      <c r="V907">
        <v>98</v>
      </c>
      <c r="W907">
        <v>436</v>
      </c>
      <c r="X907">
        <v>399</v>
      </c>
      <c r="Y907">
        <v>338</v>
      </c>
      <c r="Z907">
        <f t="shared" si="126"/>
        <v>295</v>
      </c>
      <c r="AA907">
        <v>252</v>
      </c>
      <c r="AB907">
        <f t="shared" si="127"/>
        <v>175</v>
      </c>
      <c r="AC907">
        <v>98</v>
      </c>
    </row>
    <row r="908" spans="1:29" x14ac:dyDescent="0.25">
      <c r="A908" t="s">
        <v>915</v>
      </c>
      <c r="B908">
        <v>519</v>
      </c>
      <c r="C908">
        <v>468</v>
      </c>
      <c r="D908">
        <v>390</v>
      </c>
      <c r="E908">
        <f t="shared" si="120"/>
        <v>335</v>
      </c>
      <c r="F908">
        <v>280</v>
      </c>
      <c r="G908">
        <f t="shared" si="121"/>
        <v>191</v>
      </c>
      <c r="H908">
        <v>102</v>
      </c>
      <c r="I908">
        <v>519</v>
      </c>
      <c r="J908">
        <v>468</v>
      </c>
      <c r="K908">
        <v>390</v>
      </c>
      <c r="L908">
        <f t="shared" si="122"/>
        <v>335</v>
      </c>
      <c r="M908">
        <v>280</v>
      </c>
      <c r="N908">
        <f t="shared" si="123"/>
        <v>191</v>
      </c>
      <c r="O908">
        <v>102</v>
      </c>
      <c r="P908">
        <v>389</v>
      </c>
      <c r="Q908">
        <v>358</v>
      </c>
      <c r="R908">
        <v>306</v>
      </c>
      <c r="S908">
        <f t="shared" si="124"/>
        <v>267</v>
      </c>
      <c r="T908">
        <v>227</v>
      </c>
      <c r="U908">
        <f t="shared" si="125"/>
        <v>158</v>
      </c>
      <c r="V908">
        <v>88</v>
      </c>
      <c r="W908">
        <v>389</v>
      </c>
      <c r="X908">
        <v>358</v>
      </c>
      <c r="Y908">
        <v>306</v>
      </c>
      <c r="Z908">
        <f t="shared" si="126"/>
        <v>267</v>
      </c>
      <c r="AA908">
        <v>227</v>
      </c>
      <c r="AB908">
        <f t="shared" si="127"/>
        <v>158</v>
      </c>
      <c r="AC908">
        <v>88</v>
      </c>
    </row>
    <row r="909" spans="1:29" x14ac:dyDescent="0.25">
      <c r="A909" t="s">
        <v>916</v>
      </c>
      <c r="B909">
        <v>455</v>
      </c>
      <c r="C909">
        <v>411</v>
      </c>
      <c r="D909">
        <v>346</v>
      </c>
      <c r="E909">
        <f t="shared" si="120"/>
        <v>298</v>
      </c>
      <c r="F909">
        <v>250</v>
      </c>
      <c r="G909">
        <f t="shared" si="121"/>
        <v>170</v>
      </c>
      <c r="H909">
        <v>90</v>
      </c>
      <c r="I909">
        <v>455</v>
      </c>
      <c r="J909">
        <v>411</v>
      </c>
      <c r="K909">
        <v>346</v>
      </c>
      <c r="L909">
        <f t="shared" si="122"/>
        <v>298</v>
      </c>
      <c r="M909">
        <v>250</v>
      </c>
      <c r="N909">
        <f t="shared" si="123"/>
        <v>170</v>
      </c>
      <c r="O909">
        <v>90</v>
      </c>
      <c r="P909">
        <v>341</v>
      </c>
      <c r="Q909">
        <v>315</v>
      </c>
      <c r="R909">
        <v>270</v>
      </c>
      <c r="S909">
        <f t="shared" si="124"/>
        <v>237</v>
      </c>
      <c r="T909">
        <v>203</v>
      </c>
      <c r="U909">
        <f t="shared" si="125"/>
        <v>141</v>
      </c>
      <c r="V909">
        <v>78</v>
      </c>
      <c r="W909">
        <v>341</v>
      </c>
      <c r="X909">
        <v>315</v>
      </c>
      <c r="Y909">
        <v>270</v>
      </c>
      <c r="Z909">
        <f t="shared" si="126"/>
        <v>237</v>
      </c>
      <c r="AA909">
        <v>203</v>
      </c>
      <c r="AB909">
        <f t="shared" si="127"/>
        <v>141</v>
      </c>
      <c r="AC909">
        <v>78</v>
      </c>
    </row>
    <row r="910" spans="1:29" x14ac:dyDescent="0.25">
      <c r="A910" t="s">
        <v>917</v>
      </c>
      <c r="B910">
        <v>731</v>
      </c>
      <c r="C910">
        <v>647</v>
      </c>
      <c r="D910">
        <v>528</v>
      </c>
      <c r="E910">
        <f t="shared" si="120"/>
        <v>447</v>
      </c>
      <c r="F910">
        <v>366</v>
      </c>
      <c r="G910">
        <f t="shared" si="121"/>
        <v>250</v>
      </c>
      <c r="H910">
        <v>133</v>
      </c>
      <c r="I910">
        <v>731</v>
      </c>
      <c r="J910">
        <v>647</v>
      </c>
      <c r="K910">
        <v>528</v>
      </c>
      <c r="L910">
        <f t="shared" si="122"/>
        <v>447</v>
      </c>
      <c r="M910">
        <v>366</v>
      </c>
      <c r="N910">
        <f t="shared" si="123"/>
        <v>250</v>
      </c>
      <c r="O910">
        <v>133</v>
      </c>
      <c r="P910">
        <v>548</v>
      </c>
      <c r="Q910">
        <v>495</v>
      </c>
      <c r="R910">
        <v>413</v>
      </c>
      <c r="S910">
        <f t="shared" si="124"/>
        <v>355</v>
      </c>
      <c r="T910">
        <v>297</v>
      </c>
      <c r="U910">
        <f t="shared" si="125"/>
        <v>207</v>
      </c>
      <c r="V910">
        <v>116</v>
      </c>
      <c r="W910">
        <v>548</v>
      </c>
      <c r="X910">
        <v>495</v>
      </c>
      <c r="Y910">
        <v>413</v>
      </c>
      <c r="Z910">
        <f t="shared" si="126"/>
        <v>355</v>
      </c>
      <c r="AA910">
        <v>297</v>
      </c>
      <c r="AB910">
        <f t="shared" si="127"/>
        <v>207</v>
      </c>
      <c r="AC910">
        <v>116</v>
      </c>
    </row>
    <row r="911" spans="1:29" x14ac:dyDescent="0.25">
      <c r="A911" t="s">
        <v>918</v>
      </c>
      <c r="B911">
        <v>680</v>
      </c>
      <c r="C911">
        <v>604</v>
      </c>
      <c r="D911">
        <v>495</v>
      </c>
      <c r="E911">
        <f t="shared" si="120"/>
        <v>420</v>
      </c>
      <c r="F911">
        <v>345</v>
      </c>
      <c r="G911">
        <f t="shared" si="121"/>
        <v>236</v>
      </c>
      <c r="H911">
        <v>126</v>
      </c>
      <c r="I911">
        <v>680</v>
      </c>
      <c r="J911">
        <v>604</v>
      </c>
      <c r="K911">
        <v>495</v>
      </c>
      <c r="L911">
        <f t="shared" si="122"/>
        <v>420</v>
      </c>
      <c r="M911">
        <v>345</v>
      </c>
      <c r="N911">
        <f t="shared" si="123"/>
        <v>236</v>
      </c>
      <c r="O911">
        <v>126</v>
      </c>
      <c r="P911">
        <v>510</v>
      </c>
      <c r="Q911">
        <v>462</v>
      </c>
      <c r="R911">
        <v>388</v>
      </c>
      <c r="S911">
        <f t="shared" si="124"/>
        <v>334</v>
      </c>
      <c r="T911">
        <v>280</v>
      </c>
      <c r="U911">
        <f t="shared" si="125"/>
        <v>195</v>
      </c>
      <c r="V911">
        <v>109</v>
      </c>
      <c r="W911">
        <v>510</v>
      </c>
      <c r="X911">
        <v>462</v>
      </c>
      <c r="Y911">
        <v>388</v>
      </c>
      <c r="Z911">
        <f t="shared" si="126"/>
        <v>334</v>
      </c>
      <c r="AA911">
        <v>280</v>
      </c>
      <c r="AB911">
        <f t="shared" si="127"/>
        <v>195</v>
      </c>
      <c r="AC911">
        <v>109</v>
      </c>
    </row>
    <row r="912" spans="1:29" x14ac:dyDescent="0.25">
      <c r="A912" t="s">
        <v>919</v>
      </c>
      <c r="B912">
        <v>625</v>
      </c>
      <c r="C912">
        <v>560</v>
      </c>
      <c r="D912">
        <v>461</v>
      </c>
      <c r="E912">
        <f t="shared" si="120"/>
        <v>395</v>
      </c>
      <c r="F912">
        <v>328</v>
      </c>
      <c r="G912">
        <f t="shared" si="121"/>
        <v>224</v>
      </c>
      <c r="H912">
        <v>120</v>
      </c>
      <c r="I912">
        <v>625</v>
      </c>
      <c r="J912">
        <v>560</v>
      </c>
      <c r="K912">
        <v>461</v>
      </c>
      <c r="L912">
        <f t="shared" si="122"/>
        <v>395</v>
      </c>
      <c r="M912">
        <v>328</v>
      </c>
      <c r="N912">
        <f t="shared" si="123"/>
        <v>224</v>
      </c>
      <c r="O912">
        <v>120</v>
      </c>
      <c r="P912">
        <v>469</v>
      </c>
      <c r="Q912">
        <v>428</v>
      </c>
      <c r="R912">
        <v>361</v>
      </c>
      <c r="S912">
        <f t="shared" si="124"/>
        <v>314</v>
      </c>
      <c r="T912">
        <v>267</v>
      </c>
      <c r="U912">
        <f t="shared" si="125"/>
        <v>186</v>
      </c>
      <c r="V912">
        <v>104</v>
      </c>
      <c r="W912">
        <v>469</v>
      </c>
      <c r="X912">
        <v>428</v>
      </c>
      <c r="Y912">
        <v>361</v>
      </c>
      <c r="Z912">
        <f t="shared" si="126"/>
        <v>314</v>
      </c>
      <c r="AA912">
        <v>267</v>
      </c>
      <c r="AB912">
        <f t="shared" si="127"/>
        <v>186</v>
      </c>
      <c r="AC912">
        <v>104</v>
      </c>
    </row>
    <row r="913" spans="1:29" x14ac:dyDescent="0.25">
      <c r="A913" t="s">
        <v>920</v>
      </c>
      <c r="B913">
        <v>572</v>
      </c>
      <c r="C913">
        <v>513</v>
      </c>
      <c r="D913">
        <v>425</v>
      </c>
      <c r="E913">
        <f t="shared" si="120"/>
        <v>365</v>
      </c>
      <c r="F913">
        <v>305</v>
      </c>
      <c r="G913">
        <f t="shared" si="121"/>
        <v>209</v>
      </c>
      <c r="H913">
        <v>112</v>
      </c>
      <c r="I913">
        <v>572</v>
      </c>
      <c r="J913">
        <v>513</v>
      </c>
      <c r="K913">
        <v>425</v>
      </c>
      <c r="L913">
        <f t="shared" si="122"/>
        <v>365</v>
      </c>
      <c r="M913">
        <v>305</v>
      </c>
      <c r="N913">
        <f t="shared" si="123"/>
        <v>209</v>
      </c>
      <c r="O913">
        <v>112</v>
      </c>
      <c r="P913">
        <v>429</v>
      </c>
      <c r="Q913">
        <v>392</v>
      </c>
      <c r="R913">
        <v>332</v>
      </c>
      <c r="S913">
        <f t="shared" si="124"/>
        <v>290</v>
      </c>
      <c r="T913">
        <v>247</v>
      </c>
      <c r="U913">
        <f t="shared" si="125"/>
        <v>173</v>
      </c>
      <c r="V913">
        <v>98</v>
      </c>
      <c r="W913">
        <v>429</v>
      </c>
      <c r="X913">
        <v>392</v>
      </c>
      <c r="Y913">
        <v>332</v>
      </c>
      <c r="Z913">
        <f t="shared" si="126"/>
        <v>290</v>
      </c>
      <c r="AA913">
        <v>247</v>
      </c>
      <c r="AB913">
        <f t="shared" si="127"/>
        <v>173</v>
      </c>
      <c r="AC913">
        <v>98</v>
      </c>
    </row>
    <row r="914" spans="1:29" x14ac:dyDescent="0.25">
      <c r="A914" t="s">
        <v>921</v>
      </c>
      <c r="B914">
        <v>513</v>
      </c>
      <c r="C914">
        <v>462</v>
      </c>
      <c r="D914">
        <v>386</v>
      </c>
      <c r="E914">
        <f t="shared" si="120"/>
        <v>332</v>
      </c>
      <c r="F914">
        <v>277</v>
      </c>
      <c r="G914">
        <f t="shared" si="121"/>
        <v>190</v>
      </c>
      <c r="H914">
        <v>102</v>
      </c>
      <c r="I914">
        <v>513</v>
      </c>
      <c r="J914">
        <v>462</v>
      </c>
      <c r="K914">
        <v>386</v>
      </c>
      <c r="L914">
        <f t="shared" si="122"/>
        <v>332</v>
      </c>
      <c r="M914">
        <v>277</v>
      </c>
      <c r="N914">
        <f t="shared" si="123"/>
        <v>190</v>
      </c>
      <c r="O914">
        <v>102</v>
      </c>
      <c r="P914">
        <v>385</v>
      </c>
      <c r="Q914">
        <v>354</v>
      </c>
      <c r="R914">
        <v>302</v>
      </c>
      <c r="S914">
        <f t="shared" si="124"/>
        <v>264</v>
      </c>
      <c r="T914">
        <v>225</v>
      </c>
      <c r="U914">
        <f t="shared" si="125"/>
        <v>157</v>
      </c>
      <c r="V914">
        <v>88</v>
      </c>
      <c r="W914">
        <v>385</v>
      </c>
      <c r="X914">
        <v>354</v>
      </c>
      <c r="Y914">
        <v>302</v>
      </c>
      <c r="Z914">
        <f t="shared" si="126"/>
        <v>264</v>
      </c>
      <c r="AA914">
        <v>225</v>
      </c>
      <c r="AB914">
        <f t="shared" si="127"/>
        <v>157</v>
      </c>
      <c r="AC914">
        <v>88</v>
      </c>
    </row>
    <row r="915" spans="1:29" x14ac:dyDescent="0.25">
      <c r="A915" t="s">
        <v>922</v>
      </c>
      <c r="B915">
        <v>450</v>
      </c>
      <c r="C915">
        <v>407</v>
      </c>
      <c r="D915">
        <v>342</v>
      </c>
      <c r="E915">
        <f t="shared" si="120"/>
        <v>295</v>
      </c>
      <c r="F915">
        <v>247</v>
      </c>
      <c r="G915">
        <f t="shared" si="121"/>
        <v>169</v>
      </c>
      <c r="H915">
        <v>90</v>
      </c>
      <c r="I915">
        <v>450</v>
      </c>
      <c r="J915">
        <v>407</v>
      </c>
      <c r="K915">
        <v>342</v>
      </c>
      <c r="L915">
        <f t="shared" si="122"/>
        <v>295</v>
      </c>
      <c r="M915">
        <v>247</v>
      </c>
      <c r="N915">
        <f t="shared" si="123"/>
        <v>169</v>
      </c>
      <c r="O915">
        <v>90</v>
      </c>
      <c r="P915">
        <v>337</v>
      </c>
      <c r="Q915">
        <v>311</v>
      </c>
      <c r="R915">
        <v>268</v>
      </c>
      <c r="S915">
        <f t="shared" si="124"/>
        <v>235</v>
      </c>
      <c r="T915">
        <v>201</v>
      </c>
      <c r="U915">
        <f t="shared" si="125"/>
        <v>140</v>
      </c>
      <c r="V915">
        <v>78</v>
      </c>
      <c r="W915">
        <v>337</v>
      </c>
      <c r="X915">
        <v>311</v>
      </c>
      <c r="Y915">
        <v>268</v>
      </c>
      <c r="Z915">
        <f t="shared" si="126"/>
        <v>235</v>
      </c>
      <c r="AA915">
        <v>201</v>
      </c>
      <c r="AB915">
        <f t="shared" si="127"/>
        <v>140</v>
      </c>
      <c r="AC915">
        <v>78</v>
      </c>
    </row>
    <row r="916" spans="1:29" x14ac:dyDescent="0.25">
      <c r="A916" t="s">
        <v>923</v>
      </c>
      <c r="B916">
        <v>669</v>
      </c>
      <c r="C916">
        <v>595</v>
      </c>
      <c r="D916">
        <v>487</v>
      </c>
      <c r="E916">
        <f t="shared" si="120"/>
        <v>414</v>
      </c>
      <c r="F916">
        <v>340</v>
      </c>
      <c r="G916">
        <f t="shared" si="121"/>
        <v>232</v>
      </c>
      <c r="H916">
        <v>123</v>
      </c>
      <c r="I916">
        <v>669</v>
      </c>
      <c r="J916">
        <v>595</v>
      </c>
      <c r="K916">
        <v>487</v>
      </c>
      <c r="L916">
        <f t="shared" si="122"/>
        <v>414</v>
      </c>
      <c r="M916">
        <v>340</v>
      </c>
      <c r="N916">
        <f t="shared" si="123"/>
        <v>232</v>
      </c>
      <c r="O916">
        <v>123</v>
      </c>
      <c r="P916">
        <v>501</v>
      </c>
      <c r="Q916">
        <v>455</v>
      </c>
      <c r="R916">
        <v>381</v>
      </c>
      <c r="S916">
        <f t="shared" si="124"/>
        <v>329</v>
      </c>
      <c r="T916">
        <v>276</v>
      </c>
      <c r="U916">
        <f t="shared" si="125"/>
        <v>192</v>
      </c>
      <c r="V916">
        <v>107</v>
      </c>
      <c r="W916">
        <v>501</v>
      </c>
      <c r="X916">
        <v>455</v>
      </c>
      <c r="Y916">
        <v>381</v>
      </c>
      <c r="Z916">
        <f t="shared" si="126"/>
        <v>329</v>
      </c>
      <c r="AA916">
        <v>276</v>
      </c>
      <c r="AB916">
        <f t="shared" si="127"/>
        <v>192</v>
      </c>
      <c r="AC916">
        <v>107</v>
      </c>
    </row>
    <row r="917" spans="1:29" x14ac:dyDescent="0.25">
      <c r="A917" t="s">
        <v>924</v>
      </c>
      <c r="B917">
        <v>616</v>
      </c>
      <c r="C917">
        <v>550</v>
      </c>
      <c r="D917">
        <v>453</v>
      </c>
      <c r="E917">
        <f t="shared" si="120"/>
        <v>388</v>
      </c>
      <c r="F917">
        <v>322</v>
      </c>
      <c r="G917">
        <f t="shared" si="121"/>
        <v>220</v>
      </c>
      <c r="H917">
        <v>118</v>
      </c>
      <c r="I917">
        <v>616</v>
      </c>
      <c r="J917">
        <v>550</v>
      </c>
      <c r="K917">
        <v>453</v>
      </c>
      <c r="L917">
        <f t="shared" si="122"/>
        <v>388</v>
      </c>
      <c r="M917">
        <v>322</v>
      </c>
      <c r="N917">
        <f t="shared" si="123"/>
        <v>220</v>
      </c>
      <c r="O917">
        <v>118</v>
      </c>
      <c r="P917">
        <v>462</v>
      </c>
      <c r="Q917">
        <v>420</v>
      </c>
      <c r="R917">
        <v>354</v>
      </c>
      <c r="S917">
        <f t="shared" si="124"/>
        <v>308</v>
      </c>
      <c r="T917">
        <v>262</v>
      </c>
      <c r="U917">
        <f t="shared" si="125"/>
        <v>183</v>
      </c>
      <c r="V917">
        <v>103</v>
      </c>
      <c r="W917">
        <v>462</v>
      </c>
      <c r="X917">
        <v>420</v>
      </c>
      <c r="Y917">
        <v>354</v>
      </c>
      <c r="Z917">
        <f t="shared" si="126"/>
        <v>308</v>
      </c>
      <c r="AA917">
        <v>262</v>
      </c>
      <c r="AB917">
        <f t="shared" si="127"/>
        <v>183</v>
      </c>
      <c r="AC917">
        <v>103</v>
      </c>
    </row>
    <row r="918" spans="1:29" x14ac:dyDescent="0.25">
      <c r="A918" t="s">
        <v>925</v>
      </c>
      <c r="B918">
        <v>561</v>
      </c>
      <c r="C918">
        <v>504</v>
      </c>
      <c r="D918">
        <v>417</v>
      </c>
      <c r="E918">
        <f t="shared" si="120"/>
        <v>358</v>
      </c>
      <c r="F918">
        <v>298</v>
      </c>
      <c r="G918">
        <f t="shared" si="121"/>
        <v>204</v>
      </c>
      <c r="H918">
        <v>110</v>
      </c>
      <c r="I918">
        <v>561</v>
      </c>
      <c r="J918">
        <v>504</v>
      </c>
      <c r="K918">
        <v>417</v>
      </c>
      <c r="L918">
        <f t="shared" si="122"/>
        <v>358</v>
      </c>
      <c r="M918">
        <v>298</v>
      </c>
      <c r="N918">
        <f t="shared" si="123"/>
        <v>204</v>
      </c>
      <c r="O918">
        <v>110</v>
      </c>
      <c r="P918">
        <v>421</v>
      </c>
      <c r="Q918">
        <v>385</v>
      </c>
      <c r="R918">
        <v>327</v>
      </c>
      <c r="S918">
        <f t="shared" si="124"/>
        <v>285</v>
      </c>
      <c r="T918">
        <v>242</v>
      </c>
      <c r="U918">
        <f t="shared" si="125"/>
        <v>169</v>
      </c>
      <c r="V918">
        <v>96</v>
      </c>
      <c r="W918">
        <v>421</v>
      </c>
      <c r="X918">
        <v>385</v>
      </c>
      <c r="Y918">
        <v>327</v>
      </c>
      <c r="Z918">
        <f t="shared" si="126"/>
        <v>285</v>
      </c>
      <c r="AA918">
        <v>242</v>
      </c>
      <c r="AB918">
        <f t="shared" si="127"/>
        <v>169</v>
      </c>
      <c r="AC918">
        <v>96</v>
      </c>
    </row>
    <row r="919" spans="1:29" x14ac:dyDescent="0.25">
      <c r="A919" t="s">
        <v>926</v>
      </c>
      <c r="B919">
        <v>506</v>
      </c>
      <c r="C919">
        <v>456</v>
      </c>
      <c r="D919">
        <v>380</v>
      </c>
      <c r="E919">
        <f t="shared" si="120"/>
        <v>328</v>
      </c>
      <c r="F919">
        <v>275</v>
      </c>
      <c r="G919">
        <f t="shared" si="121"/>
        <v>189</v>
      </c>
      <c r="H919">
        <v>102</v>
      </c>
      <c r="I919">
        <v>506</v>
      </c>
      <c r="J919">
        <v>456</v>
      </c>
      <c r="K919">
        <v>380</v>
      </c>
      <c r="L919">
        <f t="shared" si="122"/>
        <v>328</v>
      </c>
      <c r="M919">
        <v>275</v>
      </c>
      <c r="N919">
        <f t="shared" si="123"/>
        <v>189</v>
      </c>
      <c r="O919">
        <v>102</v>
      </c>
      <c r="P919">
        <v>379</v>
      </c>
      <c r="Q919">
        <v>349</v>
      </c>
      <c r="R919">
        <v>297</v>
      </c>
      <c r="S919">
        <f t="shared" si="124"/>
        <v>260</v>
      </c>
      <c r="T919">
        <v>223</v>
      </c>
      <c r="U919">
        <f t="shared" si="125"/>
        <v>156</v>
      </c>
      <c r="V919">
        <v>88</v>
      </c>
      <c r="W919">
        <v>379</v>
      </c>
      <c r="X919">
        <v>349</v>
      </c>
      <c r="Y919">
        <v>297</v>
      </c>
      <c r="Z919">
        <f t="shared" si="126"/>
        <v>260</v>
      </c>
      <c r="AA919">
        <v>223</v>
      </c>
      <c r="AB919">
        <f t="shared" si="127"/>
        <v>156</v>
      </c>
      <c r="AC919">
        <v>88</v>
      </c>
    </row>
    <row r="920" spans="1:29" x14ac:dyDescent="0.25">
      <c r="A920" t="s">
        <v>927</v>
      </c>
      <c r="B920">
        <v>443</v>
      </c>
      <c r="C920">
        <v>401</v>
      </c>
      <c r="D920">
        <v>337</v>
      </c>
      <c r="E920">
        <f t="shared" si="120"/>
        <v>291</v>
      </c>
      <c r="F920">
        <v>244</v>
      </c>
      <c r="G920">
        <f t="shared" si="121"/>
        <v>167</v>
      </c>
      <c r="H920">
        <v>90</v>
      </c>
      <c r="I920">
        <v>443</v>
      </c>
      <c r="J920">
        <v>401</v>
      </c>
      <c r="K920">
        <v>337</v>
      </c>
      <c r="L920">
        <f t="shared" si="122"/>
        <v>291</v>
      </c>
      <c r="M920">
        <v>244</v>
      </c>
      <c r="N920">
        <f t="shared" si="123"/>
        <v>167</v>
      </c>
      <c r="O920">
        <v>90</v>
      </c>
      <c r="P920">
        <v>332</v>
      </c>
      <c r="Q920">
        <v>307</v>
      </c>
      <c r="R920">
        <v>264</v>
      </c>
      <c r="S920">
        <f t="shared" si="124"/>
        <v>232</v>
      </c>
      <c r="T920">
        <v>199</v>
      </c>
      <c r="U920">
        <f t="shared" si="125"/>
        <v>139</v>
      </c>
      <c r="V920">
        <v>78</v>
      </c>
      <c r="W920">
        <v>332</v>
      </c>
      <c r="X920">
        <v>307</v>
      </c>
      <c r="Y920">
        <v>264</v>
      </c>
      <c r="Z920">
        <f t="shared" si="126"/>
        <v>232</v>
      </c>
      <c r="AA920">
        <v>199</v>
      </c>
      <c r="AB920">
        <f t="shared" si="127"/>
        <v>139</v>
      </c>
      <c r="AC920">
        <v>78</v>
      </c>
    </row>
    <row r="921" spans="1:29" x14ac:dyDescent="0.25">
      <c r="A921" t="s">
        <v>928</v>
      </c>
      <c r="B921">
        <v>605</v>
      </c>
      <c r="C921">
        <v>539</v>
      </c>
      <c r="D921">
        <v>444</v>
      </c>
      <c r="E921">
        <f t="shared" si="120"/>
        <v>380</v>
      </c>
      <c r="F921">
        <v>316</v>
      </c>
      <c r="G921">
        <f t="shared" si="121"/>
        <v>216</v>
      </c>
      <c r="H921">
        <v>116</v>
      </c>
      <c r="I921">
        <v>605</v>
      </c>
      <c r="J921">
        <v>539</v>
      </c>
      <c r="K921">
        <v>444</v>
      </c>
      <c r="L921">
        <f t="shared" si="122"/>
        <v>380</v>
      </c>
      <c r="M921">
        <v>316</v>
      </c>
      <c r="N921">
        <f t="shared" si="123"/>
        <v>216</v>
      </c>
      <c r="O921">
        <v>116</v>
      </c>
      <c r="P921">
        <v>454</v>
      </c>
      <c r="Q921">
        <v>412</v>
      </c>
      <c r="R921">
        <v>348</v>
      </c>
      <c r="S921">
        <f t="shared" si="124"/>
        <v>303</v>
      </c>
      <c r="T921">
        <v>257</v>
      </c>
      <c r="U921">
        <f t="shared" si="125"/>
        <v>179</v>
      </c>
      <c r="V921">
        <v>101</v>
      </c>
      <c r="W921">
        <v>454</v>
      </c>
      <c r="X921">
        <v>412</v>
      </c>
      <c r="Y921">
        <v>348</v>
      </c>
      <c r="Z921">
        <f t="shared" si="126"/>
        <v>303</v>
      </c>
      <c r="AA921">
        <v>257</v>
      </c>
      <c r="AB921">
        <f t="shared" si="127"/>
        <v>179</v>
      </c>
      <c r="AC921">
        <v>101</v>
      </c>
    </row>
    <row r="922" spans="1:29" x14ac:dyDescent="0.25">
      <c r="A922" t="s">
        <v>929</v>
      </c>
      <c r="B922">
        <v>550</v>
      </c>
      <c r="C922">
        <v>493</v>
      </c>
      <c r="D922">
        <v>409</v>
      </c>
      <c r="E922">
        <f t="shared" si="120"/>
        <v>351</v>
      </c>
      <c r="F922">
        <v>292</v>
      </c>
      <c r="G922">
        <f t="shared" si="121"/>
        <v>200</v>
      </c>
      <c r="H922">
        <v>107</v>
      </c>
      <c r="I922">
        <v>550</v>
      </c>
      <c r="J922">
        <v>493</v>
      </c>
      <c r="K922">
        <v>409</v>
      </c>
      <c r="L922">
        <f t="shared" si="122"/>
        <v>351</v>
      </c>
      <c r="M922">
        <v>292</v>
      </c>
      <c r="N922">
        <f t="shared" si="123"/>
        <v>200</v>
      </c>
      <c r="O922">
        <v>107</v>
      </c>
      <c r="P922">
        <v>412</v>
      </c>
      <c r="Q922">
        <v>378</v>
      </c>
      <c r="R922">
        <v>320</v>
      </c>
      <c r="S922">
        <f t="shared" si="124"/>
        <v>279</v>
      </c>
      <c r="T922">
        <v>237</v>
      </c>
      <c r="U922">
        <f t="shared" si="125"/>
        <v>166</v>
      </c>
      <c r="V922">
        <v>94</v>
      </c>
      <c r="W922">
        <v>412</v>
      </c>
      <c r="X922">
        <v>378</v>
      </c>
      <c r="Y922">
        <v>320</v>
      </c>
      <c r="Z922">
        <f t="shared" si="126"/>
        <v>279</v>
      </c>
      <c r="AA922">
        <v>237</v>
      </c>
      <c r="AB922">
        <f t="shared" si="127"/>
        <v>166</v>
      </c>
      <c r="AC922">
        <v>94</v>
      </c>
    </row>
    <row r="923" spans="1:29" x14ac:dyDescent="0.25">
      <c r="A923" t="s">
        <v>930</v>
      </c>
      <c r="B923">
        <v>495</v>
      </c>
      <c r="C923">
        <v>446</v>
      </c>
      <c r="D923">
        <v>371</v>
      </c>
      <c r="E923">
        <f t="shared" si="120"/>
        <v>320</v>
      </c>
      <c r="F923">
        <v>268</v>
      </c>
      <c r="G923">
        <f t="shared" si="121"/>
        <v>184</v>
      </c>
      <c r="H923">
        <v>100</v>
      </c>
      <c r="I923">
        <v>495</v>
      </c>
      <c r="J923">
        <v>446</v>
      </c>
      <c r="K923">
        <v>371</v>
      </c>
      <c r="L923">
        <f t="shared" si="122"/>
        <v>320</v>
      </c>
      <c r="M923">
        <v>268</v>
      </c>
      <c r="N923">
        <f t="shared" si="123"/>
        <v>184</v>
      </c>
      <c r="O923">
        <v>100</v>
      </c>
      <c r="P923">
        <v>371</v>
      </c>
      <c r="Q923">
        <v>341</v>
      </c>
      <c r="R923">
        <v>291</v>
      </c>
      <c r="S923">
        <f t="shared" si="124"/>
        <v>255</v>
      </c>
      <c r="T923">
        <v>218</v>
      </c>
      <c r="U923">
        <f t="shared" si="125"/>
        <v>153</v>
      </c>
      <c r="V923">
        <v>87</v>
      </c>
      <c r="W923">
        <v>371</v>
      </c>
      <c r="X923">
        <v>341</v>
      </c>
      <c r="Y923">
        <v>291</v>
      </c>
      <c r="Z923">
        <f t="shared" si="126"/>
        <v>255</v>
      </c>
      <c r="AA923">
        <v>218</v>
      </c>
      <c r="AB923">
        <f t="shared" si="127"/>
        <v>153</v>
      </c>
      <c r="AC923">
        <v>87</v>
      </c>
    </row>
    <row r="924" spans="1:29" x14ac:dyDescent="0.25">
      <c r="A924" t="s">
        <v>931</v>
      </c>
      <c r="B924">
        <v>435</v>
      </c>
      <c r="C924">
        <v>395</v>
      </c>
      <c r="D924">
        <v>331</v>
      </c>
      <c r="E924">
        <f t="shared" si="120"/>
        <v>286</v>
      </c>
      <c r="F924">
        <v>241</v>
      </c>
      <c r="G924">
        <f t="shared" si="121"/>
        <v>165</v>
      </c>
      <c r="H924">
        <v>89</v>
      </c>
      <c r="I924">
        <v>435</v>
      </c>
      <c r="J924">
        <v>395</v>
      </c>
      <c r="K924">
        <v>331</v>
      </c>
      <c r="L924">
        <f t="shared" si="122"/>
        <v>286</v>
      </c>
      <c r="M924">
        <v>241</v>
      </c>
      <c r="N924">
        <f t="shared" si="123"/>
        <v>165</v>
      </c>
      <c r="O924">
        <v>89</v>
      </c>
      <c r="P924">
        <v>326</v>
      </c>
      <c r="Q924">
        <v>302</v>
      </c>
      <c r="R924">
        <v>259</v>
      </c>
      <c r="S924">
        <f t="shared" si="124"/>
        <v>228</v>
      </c>
      <c r="T924">
        <v>196</v>
      </c>
      <c r="U924">
        <f t="shared" si="125"/>
        <v>137</v>
      </c>
      <c r="V924">
        <v>78</v>
      </c>
      <c r="W924">
        <v>326</v>
      </c>
      <c r="X924">
        <v>302</v>
      </c>
      <c r="Y924">
        <v>259</v>
      </c>
      <c r="Z924">
        <f t="shared" si="126"/>
        <v>228</v>
      </c>
      <c r="AA924">
        <v>196</v>
      </c>
      <c r="AB924">
        <f t="shared" si="127"/>
        <v>137</v>
      </c>
      <c r="AC924">
        <v>78</v>
      </c>
    </row>
    <row r="925" spans="1:29" s="84" customFormat="1" x14ac:dyDescent="0.25">
      <c r="A925" s="84" t="s">
        <v>1023</v>
      </c>
      <c r="B925" s="84">
        <v>296</v>
      </c>
      <c r="C925" s="84">
        <v>265</v>
      </c>
      <c r="D925" s="84">
        <v>230</v>
      </c>
      <c r="E925" s="84">
        <v>203</v>
      </c>
      <c r="F925" s="84">
        <v>165</v>
      </c>
      <c r="G925" s="84">
        <v>110</v>
      </c>
      <c r="H925" s="84">
        <v>52</v>
      </c>
      <c r="I925" s="84">
        <v>296</v>
      </c>
      <c r="J925" s="84">
        <v>265</v>
      </c>
      <c r="K925" s="84">
        <v>230</v>
      </c>
      <c r="L925" s="84">
        <v>203</v>
      </c>
      <c r="M925" s="84">
        <v>165</v>
      </c>
      <c r="N925" s="84">
        <v>110</v>
      </c>
      <c r="O925" s="84">
        <v>52</v>
      </c>
      <c r="P925" s="84">
        <v>220</v>
      </c>
      <c r="Q925" s="84">
        <v>203</v>
      </c>
      <c r="R925" s="84">
        <v>181</v>
      </c>
      <c r="S925" s="84">
        <v>160</v>
      </c>
      <c r="T925" s="84">
        <v>139</v>
      </c>
      <c r="U925" s="84">
        <v>91</v>
      </c>
      <c r="V925" s="84">
        <v>44</v>
      </c>
      <c r="W925" s="84">
        <v>220</v>
      </c>
      <c r="X925" s="84">
        <v>203</v>
      </c>
      <c r="Y925" s="84">
        <v>181</v>
      </c>
      <c r="Z925" s="84">
        <v>160</v>
      </c>
      <c r="AA925" s="84">
        <v>139</v>
      </c>
      <c r="AB925" s="84">
        <v>91</v>
      </c>
      <c r="AC925" s="84">
        <v>44</v>
      </c>
    </row>
    <row r="926" spans="1:29" s="84" customFormat="1" x14ac:dyDescent="0.25">
      <c r="A926" s="84" t="s">
        <v>1022</v>
      </c>
      <c r="B926" s="84">
        <v>365</v>
      </c>
      <c r="C926" s="84">
        <v>330</v>
      </c>
      <c r="D926" s="84">
        <v>282</v>
      </c>
      <c r="E926" s="84">
        <v>247</v>
      </c>
      <c r="F926" s="84">
        <v>204</v>
      </c>
      <c r="G926" s="84">
        <v>142</v>
      </c>
      <c r="H926" s="84">
        <v>69</v>
      </c>
      <c r="I926" s="84">
        <v>365</v>
      </c>
      <c r="J926" s="84">
        <v>330</v>
      </c>
      <c r="K926" s="84">
        <v>282</v>
      </c>
      <c r="L926" s="84">
        <v>247</v>
      </c>
      <c r="M926" s="84">
        <v>204</v>
      </c>
      <c r="N926" s="84">
        <v>142</v>
      </c>
      <c r="O926" s="84">
        <v>69</v>
      </c>
      <c r="P926" s="84">
        <v>277</v>
      </c>
      <c r="Q926" s="84">
        <v>255</v>
      </c>
      <c r="R926" s="84">
        <v>223</v>
      </c>
      <c r="S926" s="84">
        <v>196</v>
      </c>
      <c r="T926" s="84">
        <v>172</v>
      </c>
      <c r="U926" s="84">
        <v>117</v>
      </c>
      <c r="V926" s="84">
        <v>60</v>
      </c>
      <c r="W926" s="84">
        <v>277</v>
      </c>
      <c r="X926" s="84">
        <v>255</v>
      </c>
      <c r="Y926" s="84">
        <v>223</v>
      </c>
      <c r="Z926" s="84">
        <v>196</v>
      </c>
      <c r="AA926" s="84">
        <v>172</v>
      </c>
      <c r="AB926" s="84">
        <v>117</v>
      </c>
      <c r="AC926" s="84">
        <v>60</v>
      </c>
    </row>
    <row r="927" spans="1:29" s="84" customFormat="1" x14ac:dyDescent="0.25">
      <c r="A927" s="84" t="s">
        <v>1028</v>
      </c>
      <c r="B927" s="84">
        <v>358</v>
      </c>
      <c r="C927" s="84">
        <v>321</v>
      </c>
      <c r="D927" s="84">
        <v>277</v>
      </c>
      <c r="E927" s="84">
        <v>237</v>
      </c>
      <c r="F927" s="84">
        <v>199</v>
      </c>
      <c r="G927" s="84">
        <v>135</v>
      </c>
      <c r="H927" s="84">
        <v>68</v>
      </c>
      <c r="I927" s="84">
        <v>358</v>
      </c>
      <c r="J927" s="84">
        <v>321</v>
      </c>
      <c r="K927" s="84">
        <v>277</v>
      </c>
      <c r="L927" s="84">
        <v>237</v>
      </c>
      <c r="M927" s="84">
        <v>199</v>
      </c>
      <c r="N927" s="84">
        <v>135</v>
      </c>
      <c r="O927" s="84">
        <v>68</v>
      </c>
      <c r="P927" s="84">
        <v>278</v>
      </c>
      <c r="Q927" s="84">
        <v>255</v>
      </c>
      <c r="R927" s="84">
        <v>224</v>
      </c>
      <c r="S927" s="84">
        <v>198</v>
      </c>
      <c r="T927" s="84">
        <v>170</v>
      </c>
      <c r="U927" s="84">
        <v>115</v>
      </c>
      <c r="V927" s="84">
        <v>68</v>
      </c>
      <c r="W927" s="84">
        <v>278</v>
      </c>
      <c r="X927" s="84">
        <v>255</v>
      </c>
      <c r="Y927" s="84">
        <v>224</v>
      </c>
      <c r="Z927" s="84">
        <v>198</v>
      </c>
      <c r="AA927" s="84">
        <v>170</v>
      </c>
      <c r="AB927" s="84">
        <v>115</v>
      </c>
      <c r="AC927" s="84">
        <v>68</v>
      </c>
    </row>
    <row r="928" spans="1:29" s="84" customFormat="1" x14ac:dyDescent="0.25">
      <c r="A928" s="84" t="s">
        <v>1029</v>
      </c>
      <c r="B928" s="84">
        <v>281</v>
      </c>
      <c r="C928" s="84">
        <v>251</v>
      </c>
      <c r="D928" s="84">
        <v>222</v>
      </c>
      <c r="E928" s="84">
        <v>183</v>
      </c>
      <c r="F928" s="84">
        <v>140</v>
      </c>
      <c r="G928" s="84">
        <v>82</v>
      </c>
      <c r="H928" s="84">
        <v>60</v>
      </c>
      <c r="I928" s="84">
        <v>281</v>
      </c>
      <c r="J928" s="84">
        <v>251</v>
      </c>
      <c r="K928" s="84">
        <v>222</v>
      </c>
      <c r="L928" s="84">
        <v>183</v>
      </c>
      <c r="M928" s="84">
        <v>140</v>
      </c>
      <c r="N928" s="84">
        <v>82</v>
      </c>
      <c r="O928" s="84">
        <v>60</v>
      </c>
      <c r="P928" s="84">
        <v>238</v>
      </c>
      <c r="Q928" s="84">
        <v>220</v>
      </c>
      <c r="R928" s="84">
        <v>194</v>
      </c>
      <c r="S928" s="84">
        <v>168</v>
      </c>
      <c r="T928" s="84">
        <v>140</v>
      </c>
      <c r="U928" s="84">
        <v>84</v>
      </c>
      <c r="V928" s="84">
        <v>48</v>
      </c>
      <c r="W928" s="84">
        <v>238</v>
      </c>
      <c r="X928" s="84">
        <v>220</v>
      </c>
      <c r="Y928" s="84">
        <v>194</v>
      </c>
      <c r="Z928" s="84">
        <v>168</v>
      </c>
      <c r="AA928" s="84">
        <v>140</v>
      </c>
      <c r="AB928" s="84">
        <v>84</v>
      </c>
      <c r="AC928" s="84">
        <v>48</v>
      </c>
    </row>
    <row r="929" spans="1:29" s="84" customFormat="1" x14ac:dyDescent="0.25">
      <c r="A929" s="84" t="s">
        <v>1031</v>
      </c>
      <c r="B929" s="84">
        <v>350</v>
      </c>
      <c r="C929" s="84">
        <v>310</v>
      </c>
      <c r="D929" s="84">
        <v>265</v>
      </c>
      <c r="E929" s="84">
        <v>230</v>
      </c>
      <c r="F929" s="84">
        <v>185</v>
      </c>
      <c r="G929" s="84">
        <v>125</v>
      </c>
      <c r="H929" s="84">
        <v>62</v>
      </c>
      <c r="I929" s="84">
        <v>350</v>
      </c>
      <c r="J929" s="84">
        <v>310</v>
      </c>
      <c r="K929" s="84">
        <v>265</v>
      </c>
      <c r="L929" s="84">
        <v>230</v>
      </c>
      <c r="M929" s="84">
        <v>185</v>
      </c>
      <c r="N929" s="84">
        <v>125</v>
      </c>
      <c r="O929" s="84">
        <v>62</v>
      </c>
      <c r="P929" s="84">
        <v>262</v>
      </c>
      <c r="Q929" s="84">
        <v>237</v>
      </c>
      <c r="R929" s="84">
        <v>208</v>
      </c>
      <c r="S929" s="84">
        <v>183</v>
      </c>
      <c r="T929" s="84">
        <v>150</v>
      </c>
      <c r="U929" s="84">
        <v>104</v>
      </c>
      <c r="V929" s="84">
        <v>54</v>
      </c>
      <c r="W929" s="84">
        <v>262</v>
      </c>
      <c r="X929" s="84">
        <v>237</v>
      </c>
      <c r="Y929" s="84">
        <v>208</v>
      </c>
      <c r="Z929" s="84">
        <v>183</v>
      </c>
      <c r="AA929" s="84">
        <v>150</v>
      </c>
      <c r="AB929" s="84">
        <v>104</v>
      </c>
      <c r="AC929" s="84">
        <v>54</v>
      </c>
    </row>
    <row r="930" spans="1:29" s="84" customFormat="1" x14ac:dyDescent="0.25">
      <c r="A930" s="84" t="s">
        <v>1032</v>
      </c>
      <c r="B930" s="84">
        <v>260</v>
      </c>
      <c r="C930" s="84">
        <v>230</v>
      </c>
      <c r="D930" s="84">
        <v>195</v>
      </c>
      <c r="E930" s="84">
        <v>160</v>
      </c>
      <c r="F930" s="84">
        <v>120</v>
      </c>
      <c r="G930" s="84">
        <v>70</v>
      </c>
      <c r="H930" s="84">
        <v>25</v>
      </c>
      <c r="I930" s="84">
        <v>260</v>
      </c>
      <c r="J930" s="84">
        <v>230</v>
      </c>
      <c r="K930" s="84">
        <v>195</v>
      </c>
      <c r="L930" s="84">
        <v>160</v>
      </c>
      <c r="M930" s="84">
        <v>120</v>
      </c>
      <c r="N930" s="84">
        <v>70</v>
      </c>
      <c r="O930" s="84">
        <v>25</v>
      </c>
      <c r="P930" s="84">
        <v>195</v>
      </c>
      <c r="Q930" s="84">
        <v>176</v>
      </c>
      <c r="R930" s="84">
        <v>153</v>
      </c>
      <c r="S930" s="84">
        <v>127</v>
      </c>
      <c r="T930" s="84">
        <v>97</v>
      </c>
      <c r="U930" s="84">
        <v>58</v>
      </c>
      <c r="V930" s="84">
        <v>22</v>
      </c>
      <c r="W930" s="84">
        <v>195</v>
      </c>
      <c r="X930" s="84">
        <v>176</v>
      </c>
      <c r="Y930" s="84">
        <v>153</v>
      </c>
      <c r="Z930" s="84">
        <v>127</v>
      </c>
      <c r="AA930" s="84">
        <v>97</v>
      </c>
      <c r="AB930" s="84">
        <v>58</v>
      </c>
      <c r="AC930" s="84">
        <v>22</v>
      </c>
    </row>
    <row r="931" spans="1:29" s="84" customFormat="1" x14ac:dyDescent="0.25">
      <c r="A931" s="84" t="s">
        <v>1033</v>
      </c>
      <c r="B931" s="84">
        <v>340</v>
      </c>
      <c r="C931" s="84">
        <v>305</v>
      </c>
      <c r="D931" s="84">
        <v>260</v>
      </c>
      <c r="E931" s="84">
        <v>220</v>
      </c>
      <c r="F931" s="84">
        <v>181</v>
      </c>
      <c r="G931" s="84">
        <v>122</v>
      </c>
      <c r="H931" s="84">
        <v>65</v>
      </c>
      <c r="I931" s="84">
        <v>340</v>
      </c>
      <c r="J931" s="84">
        <v>305</v>
      </c>
      <c r="K931" s="84">
        <v>260</v>
      </c>
      <c r="L931" s="84">
        <v>220</v>
      </c>
      <c r="M931" s="84">
        <v>181</v>
      </c>
      <c r="N931" s="84">
        <v>122</v>
      </c>
      <c r="O931" s="84">
        <v>65</v>
      </c>
      <c r="P931" s="84">
        <v>254</v>
      </c>
      <c r="Q931" s="84">
        <v>233</v>
      </c>
      <c r="R931" s="84">
        <v>204</v>
      </c>
      <c r="S931" s="84">
        <v>175</v>
      </c>
      <c r="T931" s="84">
        <v>146</v>
      </c>
      <c r="U931" s="84">
        <v>101</v>
      </c>
      <c r="V931" s="84">
        <v>57</v>
      </c>
      <c r="W931" s="84">
        <v>254</v>
      </c>
      <c r="X931" s="84">
        <v>233</v>
      </c>
      <c r="Y931" s="84">
        <v>204</v>
      </c>
      <c r="Z931" s="84">
        <v>175</v>
      </c>
      <c r="AA931" s="84">
        <v>146</v>
      </c>
      <c r="AB931" s="84">
        <v>101</v>
      </c>
      <c r="AC931" s="84">
        <v>57</v>
      </c>
    </row>
    <row r="932" spans="1:29" s="84" customFormat="1" x14ac:dyDescent="0.25">
      <c r="A932" s="84" t="s">
        <v>1034</v>
      </c>
      <c r="B932" s="84">
        <v>255</v>
      </c>
      <c r="C932" s="84">
        <v>225</v>
      </c>
      <c r="D932" s="84">
        <v>185</v>
      </c>
      <c r="E932" s="84">
        <v>150</v>
      </c>
      <c r="F932" s="84">
        <v>115</v>
      </c>
      <c r="G932" s="84">
        <v>70</v>
      </c>
      <c r="H932" s="84">
        <v>33</v>
      </c>
      <c r="I932" s="84">
        <v>255</v>
      </c>
      <c r="J932" s="84">
        <v>225</v>
      </c>
      <c r="K932" s="84">
        <v>185</v>
      </c>
      <c r="L932" s="84">
        <v>150</v>
      </c>
      <c r="M932" s="84">
        <v>115</v>
      </c>
      <c r="N932" s="84">
        <v>70</v>
      </c>
      <c r="O932" s="84">
        <v>33</v>
      </c>
      <c r="P932" s="84">
        <v>191</v>
      </c>
      <c r="Q932" s="84">
        <v>172</v>
      </c>
      <c r="R932" s="84">
        <v>145</v>
      </c>
      <c r="S932" s="84">
        <v>119</v>
      </c>
      <c r="T932" s="84">
        <v>93</v>
      </c>
      <c r="U932" s="84">
        <v>58</v>
      </c>
      <c r="V932" s="84">
        <v>29</v>
      </c>
      <c r="W932" s="84">
        <v>191</v>
      </c>
      <c r="X932" s="84">
        <v>172</v>
      </c>
      <c r="Y932" s="84">
        <v>145</v>
      </c>
      <c r="Z932" s="84">
        <v>119</v>
      </c>
      <c r="AA932" s="84">
        <v>93</v>
      </c>
      <c r="AB932" s="84">
        <v>58</v>
      </c>
      <c r="AC932" s="84">
        <v>29</v>
      </c>
    </row>
    <row r="933" spans="1:29" s="84" customFormat="1" x14ac:dyDescent="0.25">
      <c r="A933" s="84" t="s">
        <v>1035</v>
      </c>
      <c r="B933" s="84">
        <v>168</v>
      </c>
      <c r="C933" s="84">
        <v>140</v>
      </c>
      <c r="D933" s="84">
        <v>110</v>
      </c>
      <c r="E933" s="84">
        <v>80</v>
      </c>
      <c r="F933" s="84">
        <v>50</v>
      </c>
      <c r="G933" s="84">
        <v>25</v>
      </c>
      <c r="H933" s="84">
        <v>7</v>
      </c>
      <c r="I933" s="84">
        <v>168</v>
      </c>
      <c r="J933" s="84">
        <v>140</v>
      </c>
      <c r="K933" s="84">
        <v>110</v>
      </c>
      <c r="L933" s="84">
        <v>80</v>
      </c>
      <c r="M933" s="84">
        <v>50</v>
      </c>
      <c r="N933" s="84">
        <v>25</v>
      </c>
      <c r="O933" s="84">
        <v>7</v>
      </c>
      <c r="P933" s="84">
        <v>125</v>
      </c>
      <c r="Q933" s="84">
        <v>107</v>
      </c>
      <c r="R933" s="84">
        <v>86</v>
      </c>
      <c r="S933" s="84">
        <v>63</v>
      </c>
      <c r="T933" s="84">
        <v>40</v>
      </c>
      <c r="U933" s="84">
        <v>20</v>
      </c>
      <c r="V933" s="84">
        <v>6</v>
      </c>
      <c r="W933" s="84">
        <v>125</v>
      </c>
      <c r="X933" s="84">
        <v>107</v>
      </c>
      <c r="Y933" s="84">
        <v>86</v>
      </c>
      <c r="Z933" s="84">
        <v>63</v>
      </c>
      <c r="AA933" s="84">
        <v>40</v>
      </c>
      <c r="AB933" s="84">
        <v>20</v>
      </c>
      <c r="AC933" s="84">
        <v>6</v>
      </c>
    </row>
    <row r="934" spans="1:29" s="84" customFormat="1" x14ac:dyDescent="0.25">
      <c r="A934" s="84" t="s">
        <v>1052</v>
      </c>
      <c r="B934" s="84">
        <v>251</v>
      </c>
      <c r="C934" s="84">
        <v>228</v>
      </c>
      <c r="D934" s="84">
        <v>202</v>
      </c>
      <c r="E934" s="84">
        <v>178</v>
      </c>
      <c r="F934" s="84">
        <v>145</v>
      </c>
      <c r="G934" s="84">
        <v>95</v>
      </c>
      <c r="H934" s="84">
        <v>45</v>
      </c>
      <c r="I934" s="84">
        <v>251</v>
      </c>
      <c r="J934" s="84">
        <v>228</v>
      </c>
      <c r="K934" s="84">
        <v>202</v>
      </c>
      <c r="L934" s="84">
        <v>178</v>
      </c>
      <c r="M934" s="84">
        <v>145</v>
      </c>
      <c r="N934" s="84">
        <v>95</v>
      </c>
      <c r="O934" s="84">
        <v>45</v>
      </c>
      <c r="P934" s="84">
        <v>188</v>
      </c>
      <c r="Q934" s="84">
        <v>175</v>
      </c>
      <c r="R934" s="84">
        <v>158</v>
      </c>
      <c r="S934" s="84">
        <v>142</v>
      </c>
      <c r="T934" s="84">
        <v>117</v>
      </c>
      <c r="U934" s="84">
        <v>78</v>
      </c>
      <c r="V934" s="84">
        <v>39</v>
      </c>
      <c r="W934" s="84">
        <v>188</v>
      </c>
      <c r="X934" s="84">
        <v>175</v>
      </c>
      <c r="Y934" s="84">
        <v>158</v>
      </c>
      <c r="Z934" s="84">
        <v>142</v>
      </c>
      <c r="AA934" s="84">
        <v>117</v>
      </c>
      <c r="AB934" s="84">
        <v>78</v>
      </c>
      <c r="AC934" s="84">
        <v>39</v>
      </c>
    </row>
    <row r="935" spans="1:29" s="84" customFormat="1" x14ac:dyDescent="0.25">
      <c r="A935" s="84" t="s">
        <v>1053</v>
      </c>
      <c r="B935" s="84">
        <v>340</v>
      </c>
      <c r="C935" s="84">
        <v>309</v>
      </c>
      <c r="D935" s="84">
        <v>272</v>
      </c>
      <c r="E935" s="84">
        <v>236</v>
      </c>
      <c r="F935" s="84">
        <v>194</v>
      </c>
      <c r="G935" s="84">
        <v>136</v>
      </c>
      <c r="H935" s="84">
        <v>71</v>
      </c>
      <c r="I935" s="84">
        <v>340</v>
      </c>
      <c r="J935" s="84">
        <v>309</v>
      </c>
      <c r="K935" s="84">
        <v>272</v>
      </c>
      <c r="L935" s="84">
        <v>236</v>
      </c>
      <c r="M935" s="84">
        <v>194</v>
      </c>
      <c r="N935" s="84">
        <v>136</v>
      </c>
      <c r="O935" s="84">
        <v>71</v>
      </c>
      <c r="P935" s="84">
        <v>255</v>
      </c>
      <c r="Q935" s="84">
        <v>237</v>
      </c>
      <c r="R935" s="84">
        <v>213</v>
      </c>
      <c r="S935" s="84">
        <v>188</v>
      </c>
      <c r="T935" s="84">
        <v>157</v>
      </c>
      <c r="U935" s="84">
        <v>112</v>
      </c>
      <c r="V935" s="84">
        <v>61</v>
      </c>
      <c r="W935" s="84">
        <v>255</v>
      </c>
      <c r="X935" s="84">
        <v>237</v>
      </c>
      <c r="Y935" s="84">
        <v>213</v>
      </c>
      <c r="Z935" s="84">
        <v>188</v>
      </c>
      <c r="AA935" s="84">
        <v>157</v>
      </c>
      <c r="AB935" s="84">
        <v>112</v>
      </c>
      <c r="AC935" s="84">
        <v>61</v>
      </c>
    </row>
    <row r="936" spans="1:29" s="84" customFormat="1" x14ac:dyDescent="0.25">
      <c r="A936" s="84" t="s">
        <v>1054</v>
      </c>
      <c r="B936" s="84">
        <v>311</v>
      </c>
      <c r="C936" s="84">
        <v>276</v>
      </c>
      <c r="D936" s="84">
        <v>235</v>
      </c>
      <c r="E936" s="84">
        <v>199</v>
      </c>
      <c r="F936" s="84">
        <v>158</v>
      </c>
      <c r="G936" s="84">
        <v>110</v>
      </c>
      <c r="H936" s="84">
        <v>59</v>
      </c>
      <c r="I936" s="84">
        <v>311</v>
      </c>
      <c r="J936" s="84">
        <v>276</v>
      </c>
      <c r="K936" s="84">
        <v>235</v>
      </c>
      <c r="L936" s="84">
        <v>199</v>
      </c>
      <c r="M936" s="84">
        <v>158</v>
      </c>
      <c r="N936" s="84">
        <v>110</v>
      </c>
      <c r="O936" s="84">
        <v>59</v>
      </c>
      <c r="P936" s="84">
        <v>233</v>
      </c>
      <c r="Q936" s="84">
        <v>211</v>
      </c>
      <c r="R936" s="84">
        <v>184</v>
      </c>
      <c r="S936" s="84">
        <v>158</v>
      </c>
      <c r="T936" s="84">
        <v>128</v>
      </c>
      <c r="U936" s="84">
        <v>91</v>
      </c>
      <c r="V936" s="84">
        <v>51</v>
      </c>
      <c r="W936" s="84">
        <v>233</v>
      </c>
      <c r="X936" s="84">
        <v>211</v>
      </c>
      <c r="Y936" s="84">
        <v>184</v>
      </c>
      <c r="Z936" s="84">
        <v>158</v>
      </c>
      <c r="AA936" s="84">
        <v>128</v>
      </c>
      <c r="AB936" s="84">
        <v>91</v>
      </c>
      <c r="AC936" s="84">
        <v>51</v>
      </c>
    </row>
    <row r="937" spans="1:29" s="84" customFormat="1" x14ac:dyDescent="0.25">
      <c r="A937" s="84" t="s">
        <v>1055</v>
      </c>
      <c r="B937" s="84">
        <v>185</v>
      </c>
      <c r="C937" s="84">
        <v>161</v>
      </c>
      <c r="D937" s="84">
        <v>133</v>
      </c>
      <c r="E937" s="84">
        <v>111</v>
      </c>
      <c r="F937" s="84">
        <v>80</v>
      </c>
      <c r="G937" s="84">
        <v>52</v>
      </c>
      <c r="H937" s="84">
        <v>25</v>
      </c>
      <c r="I937" s="84">
        <v>185</v>
      </c>
      <c r="J937" s="84">
        <v>161</v>
      </c>
      <c r="K937" s="84">
        <v>133</v>
      </c>
      <c r="L937" s="84">
        <v>111</v>
      </c>
      <c r="M937" s="84">
        <v>80</v>
      </c>
      <c r="N937" s="84">
        <v>52</v>
      </c>
      <c r="O937" s="84">
        <v>25</v>
      </c>
      <c r="P937" s="84">
        <v>139</v>
      </c>
      <c r="Q937" s="84">
        <v>123</v>
      </c>
      <c r="R937" s="84">
        <v>104</v>
      </c>
      <c r="S937" s="84">
        <v>88</v>
      </c>
      <c r="T937" s="84">
        <v>65</v>
      </c>
      <c r="U937" s="84">
        <v>43</v>
      </c>
      <c r="V937" s="84">
        <v>22</v>
      </c>
      <c r="W937" s="84">
        <v>139</v>
      </c>
      <c r="X937" s="84">
        <v>123</v>
      </c>
      <c r="Y937" s="84">
        <v>104</v>
      </c>
      <c r="Z937" s="84">
        <v>88</v>
      </c>
      <c r="AA937" s="84">
        <v>65</v>
      </c>
      <c r="AB937" s="84">
        <v>43</v>
      </c>
      <c r="AC937" s="84">
        <v>22</v>
      </c>
    </row>
    <row r="938" spans="1:29" s="84" customFormat="1" x14ac:dyDescent="0.25">
      <c r="A938" s="84" t="s">
        <v>1056</v>
      </c>
      <c r="B938" s="84">
        <v>344</v>
      </c>
      <c r="C938" s="84">
        <v>311</v>
      </c>
      <c r="D938" s="84">
        <v>260</v>
      </c>
      <c r="E938" s="84">
        <v>229</v>
      </c>
      <c r="F938" s="84">
        <v>195</v>
      </c>
      <c r="G938" s="84">
        <v>137</v>
      </c>
      <c r="H938" s="84">
        <v>76</v>
      </c>
      <c r="I938" s="84">
        <v>344</v>
      </c>
      <c r="J938" s="84">
        <v>311</v>
      </c>
      <c r="K938" s="84">
        <v>260</v>
      </c>
      <c r="L938" s="84">
        <v>229</v>
      </c>
      <c r="M938" s="84">
        <v>195</v>
      </c>
      <c r="N938" s="84">
        <v>137</v>
      </c>
      <c r="O938" s="84">
        <v>76</v>
      </c>
      <c r="P938" s="84">
        <v>255</v>
      </c>
      <c r="Q938" s="84">
        <v>238</v>
      </c>
      <c r="R938" s="84">
        <v>206</v>
      </c>
      <c r="S938" s="84">
        <v>182</v>
      </c>
      <c r="T938" s="84">
        <v>155</v>
      </c>
      <c r="U938" s="84">
        <v>112</v>
      </c>
      <c r="V938" s="84">
        <v>63</v>
      </c>
      <c r="W938" s="84">
        <v>255</v>
      </c>
      <c r="X938" s="84">
        <v>238</v>
      </c>
      <c r="Y938" s="84">
        <v>206</v>
      </c>
      <c r="Z938" s="84">
        <v>182</v>
      </c>
      <c r="AA938" s="84">
        <v>155</v>
      </c>
      <c r="AB938" s="84">
        <v>112</v>
      </c>
      <c r="AC938" s="84">
        <v>63</v>
      </c>
    </row>
    <row r="939" spans="1:29" s="84" customFormat="1" x14ac:dyDescent="0.25">
      <c r="A939" s="84" t="s">
        <v>1110</v>
      </c>
      <c r="B939" s="84">
        <v>354</v>
      </c>
      <c r="C939" s="84">
        <v>325</v>
      </c>
      <c r="D939" s="84">
        <v>277</v>
      </c>
      <c r="E939" s="84">
        <v>240</v>
      </c>
      <c r="F939" s="84">
        <v>203</v>
      </c>
      <c r="G939" s="84">
        <v>140</v>
      </c>
      <c r="H939" s="84">
        <v>77</v>
      </c>
      <c r="I939" s="84">
        <v>354</v>
      </c>
      <c r="J939" s="84">
        <v>325</v>
      </c>
      <c r="K939" s="84">
        <v>277</v>
      </c>
      <c r="L939" s="84">
        <v>240</v>
      </c>
      <c r="M939" s="84">
        <v>203</v>
      </c>
      <c r="N939" s="84">
        <v>140</v>
      </c>
      <c r="O939" s="84">
        <v>77</v>
      </c>
      <c r="P939" s="84">
        <v>270</v>
      </c>
      <c r="Q939" s="84">
        <v>251</v>
      </c>
      <c r="R939" s="84">
        <v>217</v>
      </c>
      <c r="S939" s="84">
        <v>192</v>
      </c>
      <c r="T939" s="84">
        <v>166</v>
      </c>
      <c r="U939" s="84">
        <v>117</v>
      </c>
      <c r="V939" s="84">
        <v>68</v>
      </c>
      <c r="W939" s="84">
        <v>270</v>
      </c>
      <c r="X939" s="84">
        <v>251</v>
      </c>
      <c r="Y939" s="84">
        <v>217</v>
      </c>
      <c r="Z939" s="84">
        <v>192</v>
      </c>
      <c r="AA939" s="84">
        <v>166</v>
      </c>
      <c r="AB939" s="84">
        <v>117</v>
      </c>
      <c r="AC939" s="84">
        <v>68</v>
      </c>
    </row>
    <row r="940" spans="1:29" s="84" customFormat="1" x14ac:dyDescent="0.25">
      <c r="A940" s="84" t="s">
        <v>1133</v>
      </c>
      <c r="B940" s="84">
        <v>354</v>
      </c>
      <c r="C940" s="84">
        <v>323</v>
      </c>
      <c r="D940" s="84">
        <v>275</v>
      </c>
      <c r="E940" s="84">
        <v>238</v>
      </c>
      <c r="F940" s="84">
        <v>202</v>
      </c>
      <c r="G940" s="84">
        <v>139</v>
      </c>
      <c r="H940" s="84">
        <v>77</v>
      </c>
      <c r="I940" s="84">
        <v>354</v>
      </c>
      <c r="J940" s="84">
        <v>323</v>
      </c>
      <c r="K940" s="84">
        <v>275</v>
      </c>
      <c r="L940" s="84">
        <v>238</v>
      </c>
      <c r="M940" s="84">
        <v>202</v>
      </c>
      <c r="N940" s="84">
        <v>139</v>
      </c>
      <c r="O940" s="84">
        <v>77</v>
      </c>
      <c r="P940" s="84">
        <v>262</v>
      </c>
      <c r="Q940" s="84">
        <v>244</v>
      </c>
      <c r="R940" s="84">
        <v>213</v>
      </c>
      <c r="S940" s="84">
        <v>190</v>
      </c>
      <c r="T940" s="84">
        <v>165</v>
      </c>
      <c r="U940" s="84">
        <v>116</v>
      </c>
      <c r="V940" s="84">
        <v>67</v>
      </c>
      <c r="W940" s="84">
        <v>262</v>
      </c>
      <c r="X940" s="84">
        <v>244</v>
      </c>
      <c r="Y940" s="84">
        <v>213</v>
      </c>
      <c r="Z940" s="84">
        <v>190</v>
      </c>
      <c r="AA940" s="84">
        <v>165</v>
      </c>
      <c r="AB940" s="84">
        <v>116</v>
      </c>
      <c r="AC940" s="84">
        <v>67</v>
      </c>
    </row>
    <row r="942" spans="1:29" x14ac:dyDescent="0.25">
      <c r="A942" s="84" t="s">
        <v>1024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7"/>
  <sheetViews>
    <sheetView workbookViewId="0">
      <selection activeCell="Q24" sqref="Q24:S24"/>
    </sheetView>
  </sheetViews>
  <sheetFormatPr baseColWidth="10" defaultRowHeight="15" x14ac:dyDescent="0.25"/>
  <sheetData>
    <row r="1" spans="1:8" x14ac:dyDescent="0.25">
      <c r="B1" t="s">
        <v>0</v>
      </c>
    </row>
    <row r="2" spans="1:8" x14ac:dyDescent="0.25">
      <c r="B2" t="s">
        <v>1</v>
      </c>
      <c r="C2" t="s">
        <v>2</v>
      </c>
      <c r="D2" t="s">
        <v>3</v>
      </c>
      <c r="E2" t="s">
        <v>944</v>
      </c>
      <c r="F2" t="s">
        <v>4</v>
      </c>
      <c r="G2" t="s">
        <v>945</v>
      </c>
      <c r="H2" t="s">
        <v>5</v>
      </c>
    </row>
    <row r="3" spans="1:8" x14ac:dyDescent="0.25">
      <c r="A3" t="s">
        <v>954</v>
      </c>
      <c r="B3">
        <v>3864</v>
      </c>
      <c r="C3">
        <v>3571</v>
      </c>
      <c r="D3">
        <v>3048</v>
      </c>
      <c r="E3">
        <f>ROUND((D3+F3)/2,0)</f>
        <v>2681</v>
      </c>
      <c r="F3">
        <v>2314</v>
      </c>
      <c r="G3">
        <f>ROUND((F3+H3)/2,0)</f>
        <v>1725</v>
      </c>
      <c r="H3">
        <v>1135</v>
      </c>
    </row>
    <row r="5" spans="1:8" x14ac:dyDescent="0.25">
      <c r="B5" t="s">
        <v>932</v>
      </c>
    </row>
    <row r="6" spans="1:8" x14ac:dyDescent="0.25">
      <c r="B6" t="s">
        <v>1</v>
      </c>
      <c r="C6" t="s">
        <v>2</v>
      </c>
      <c r="D6" t="s">
        <v>3</v>
      </c>
      <c r="E6" t="s">
        <v>944</v>
      </c>
      <c r="F6" t="s">
        <v>4</v>
      </c>
      <c r="G6" t="s">
        <v>945</v>
      </c>
      <c r="H6" t="s">
        <v>5</v>
      </c>
    </row>
    <row r="7" spans="1:8" x14ac:dyDescent="0.25">
      <c r="A7" t="s">
        <v>954</v>
      </c>
      <c r="B7">
        <v>2154</v>
      </c>
      <c r="C7">
        <v>2035</v>
      </c>
      <c r="D7">
        <v>1807</v>
      </c>
      <c r="E7">
        <f>ROUND((D7+F7)/2,0)</f>
        <v>1643</v>
      </c>
      <c r="F7">
        <v>1478</v>
      </c>
      <c r="G7">
        <f>ROUND((F7+H7)/2,0)</f>
        <v>1167</v>
      </c>
      <c r="H7">
        <v>856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532E4-9096-4FA9-AE65-CA6DC8F704BD}">
  <dimension ref="A2:Y47"/>
  <sheetViews>
    <sheetView showGridLines="0" showRowColHeaders="0" topLeftCell="A18" workbookViewId="0">
      <selection activeCell="C20" sqref="C20:E20"/>
    </sheetView>
  </sheetViews>
  <sheetFormatPr baseColWidth="10" defaultColWidth="0" defaultRowHeight="15" customHeight="1" zeroHeight="1" x14ac:dyDescent="0.2"/>
  <cols>
    <col min="1" max="1" width="2.28515625" style="335" customWidth="1"/>
    <col min="2" max="2" width="8.5703125" style="335" customWidth="1"/>
    <col min="3" max="3" width="7" style="335" customWidth="1"/>
    <col min="4" max="4" width="4.7109375" style="335" customWidth="1"/>
    <col min="5" max="5" width="7" style="335" customWidth="1"/>
    <col min="6" max="6" width="2.7109375" style="335" customWidth="1"/>
    <col min="7" max="7" width="7" style="335" customWidth="1"/>
    <col min="8" max="8" width="2.7109375" style="335" customWidth="1"/>
    <col min="9" max="9" width="7" style="335" customWidth="1"/>
    <col min="10" max="10" width="2.7109375" style="335" customWidth="1"/>
    <col min="11" max="11" width="7" style="335" customWidth="1"/>
    <col min="12" max="12" width="2.7109375" style="335" customWidth="1"/>
    <col min="13" max="13" width="7" style="335" customWidth="1"/>
    <col min="14" max="14" width="2.7109375" style="335" customWidth="1"/>
    <col min="15" max="15" width="7" style="335" customWidth="1"/>
    <col min="16" max="16" width="2.7109375" style="335" customWidth="1"/>
    <col min="17" max="17" width="7" style="335" customWidth="1"/>
    <col min="18" max="18" width="2.7109375" style="335" customWidth="1"/>
    <col min="19" max="19" width="6.42578125" style="335" customWidth="1"/>
    <col min="20" max="20" width="2.28515625" style="335" customWidth="1"/>
    <col min="21" max="16384" width="11.42578125" style="335" hidden="1"/>
  </cols>
  <sheetData>
    <row r="2" spans="2:18" ht="14.25" hidden="1" x14ac:dyDescent="0.2">
      <c r="C2" s="123" t="s">
        <v>938</v>
      </c>
      <c r="D2" s="335">
        <f>VLOOKUP(C20,E2:F4,2,0)</f>
        <v>2</v>
      </c>
      <c r="E2" s="123" t="s">
        <v>1079</v>
      </c>
      <c r="F2" s="335">
        <v>2</v>
      </c>
      <c r="N2" s="336"/>
    </row>
    <row r="3" spans="2:18" ht="14.25" hidden="1" x14ac:dyDescent="0.2">
      <c r="E3" s="123" t="s">
        <v>1080</v>
      </c>
      <c r="F3" s="335">
        <v>3</v>
      </c>
      <c r="N3" s="336"/>
    </row>
    <row r="4" spans="2:18" ht="14.25" hidden="1" x14ac:dyDescent="0.2">
      <c r="E4" s="123" t="s">
        <v>1081</v>
      </c>
      <c r="F4" s="335">
        <v>4</v>
      </c>
      <c r="N4" s="336"/>
    </row>
    <row r="5" spans="2:18" ht="14.25" hidden="1" x14ac:dyDescent="0.2">
      <c r="C5" s="335" t="s">
        <v>1091</v>
      </c>
      <c r="D5" s="335">
        <f>SUM((Q20+Q21)/2)-Q22</f>
        <v>25</v>
      </c>
      <c r="E5" s="123">
        <f>SUM(Q20-Q21)</f>
        <v>10</v>
      </c>
      <c r="N5" s="336"/>
    </row>
    <row r="6" spans="2:18" ht="14.25" hidden="1" x14ac:dyDescent="0.2">
      <c r="C6" s="335" t="s">
        <v>1090</v>
      </c>
      <c r="D6" s="335" t="str">
        <f>CONCATENATE(Q20,"-",Q21,"-",Q22)</f>
        <v>50-40-20</v>
      </c>
      <c r="E6" s="123">
        <f>SUM(Q21-Q20)</f>
        <v>-10</v>
      </c>
      <c r="N6" s="336"/>
    </row>
    <row r="7" spans="2:18" ht="14.25" hidden="1" x14ac:dyDescent="0.2">
      <c r="F7" s="335" t="s">
        <v>1083</v>
      </c>
      <c r="L7" s="335" t="s">
        <v>1082</v>
      </c>
    </row>
    <row r="8" spans="2:18" ht="14.25" hidden="1" x14ac:dyDescent="0.2">
      <c r="B8" s="335" t="s">
        <v>941</v>
      </c>
      <c r="C8" s="335" t="s">
        <v>1070</v>
      </c>
      <c r="D8" s="335" t="s">
        <v>1071</v>
      </c>
      <c r="E8" s="335" t="s">
        <v>1072</v>
      </c>
      <c r="F8" s="335" t="s">
        <v>1073</v>
      </c>
      <c r="G8" s="335" t="s">
        <v>1074</v>
      </c>
      <c r="H8" s="335" t="s">
        <v>1075</v>
      </c>
      <c r="I8" s="335" t="s">
        <v>1076</v>
      </c>
      <c r="J8" s="335" t="s">
        <v>1077</v>
      </c>
      <c r="K8" s="335" t="s">
        <v>1078</v>
      </c>
      <c r="L8" s="335" t="s">
        <v>1073</v>
      </c>
      <c r="M8" s="335" t="s">
        <v>1074</v>
      </c>
      <c r="N8" s="335" t="s">
        <v>1075</v>
      </c>
      <c r="O8" s="335" t="s">
        <v>1076</v>
      </c>
      <c r="P8" s="335" t="s">
        <v>1077</v>
      </c>
      <c r="Q8" s="335" t="s">
        <v>1078</v>
      </c>
      <c r="R8" s="335" t="s">
        <v>1111</v>
      </c>
    </row>
    <row r="9" spans="2:18" ht="14.25" hidden="1" x14ac:dyDescent="0.2">
      <c r="B9" s="335" t="s">
        <v>1180</v>
      </c>
      <c r="C9" s="335">
        <v>192</v>
      </c>
      <c r="D9" s="335">
        <v>90</v>
      </c>
      <c r="E9" s="335">
        <v>2</v>
      </c>
      <c r="F9" s="335">
        <v>950</v>
      </c>
      <c r="G9" s="335">
        <v>1300</v>
      </c>
      <c r="H9" s="335">
        <v>1750</v>
      </c>
      <c r="I9" s="335">
        <v>2100</v>
      </c>
      <c r="J9" s="335">
        <v>2550</v>
      </c>
      <c r="K9" s="335">
        <v>2900</v>
      </c>
      <c r="L9" s="335">
        <v>640</v>
      </c>
      <c r="M9" s="335">
        <v>960</v>
      </c>
      <c r="N9" s="335">
        <v>1440</v>
      </c>
      <c r="O9" s="335">
        <v>1760</v>
      </c>
      <c r="P9" s="335">
        <v>2250</v>
      </c>
      <c r="Q9" s="335">
        <v>2570</v>
      </c>
      <c r="R9" s="335">
        <v>22</v>
      </c>
    </row>
    <row r="10" spans="2:18" ht="14.25" hidden="1" x14ac:dyDescent="0.2">
      <c r="B10" s="335" t="s">
        <v>1181</v>
      </c>
      <c r="C10" s="335">
        <v>224</v>
      </c>
      <c r="D10" s="335">
        <v>90</v>
      </c>
      <c r="E10" s="335">
        <v>2</v>
      </c>
      <c r="F10" s="335">
        <v>950</v>
      </c>
      <c r="G10" s="335">
        <v>1300</v>
      </c>
      <c r="H10" s="335">
        <v>1750</v>
      </c>
      <c r="I10" s="335">
        <v>2100</v>
      </c>
      <c r="J10" s="335">
        <v>2550</v>
      </c>
      <c r="K10" s="335">
        <v>2900</v>
      </c>
      <c r="L10" s="335">
        <v>640</v>
      </c>
      <c r="M10" s="335">
        <v>960</v>
      </c>
      <c r="N10" s="335">
        <v>1440</v>
      </c>
      <c r="O10" s="335">
        <v>1760</v>
      </c>
      <c r="P10" s="335">
        <v>2250</v>
      </c>
      <c r="Q10" s="335">
        <v>2570</v>
      </c>
      <c r="R10" s="335">
        <v>22</v>
      </c>
    </row>
    <row r="11" spans="2:18" ht="14.25" hidden="1" x14ac:dyDescent="0.2">
      <c r="B11" s="335" t="s">
        <v>1182</v>
      </c>
      <c r="C11" s="335">
        <v>272</v>
      </c>
      <c r="D11" s="335">
        <v>90</v>
      </c>
      <c r="E11" s="335">
        <v>2</v>
      </c>
      <c r="F11" s="335">
        <v>950</v>
      </c>
      <c r="G11" s="335">
        <v>1300</v>
      </c>
      <c r="H11" s="335">
        <v>1750</v>
      </c>
      <c r="I11" s="335">
        <v>2100</v>
      </c>
      <c r="J11" s="335">
        <v>2550</v>
      </c>
      <c r="K11" s="335">
        <v>2900</v>
      </c>
      <c r="L11" s="335">
        <v>640</v>
      </c>
      <c r="M11" s="335">
        <v>960</v>
      </c>
      <c r="N11" s="335">
        <v>1440</v>
      </c>
      <c r="O11" s="335">
        <v>1760</v>
      </c>
      <c r="P11" s="335">
        <v>2250</v>
      </c>
      <c r="Q11" s="335">
        <v>2570</v>
      </c>
      <c r="R11" s="335">
        <v>22</v>
      </c>
    </row>
    <row r="12" spans="2:18" ht="14.25" hidden="1" x14ac:dyDescent="0.2">
      <c r="B12" s="335" t="s">
        <v>1183</v>
      </c>
      <c r="C12" s="335">
        <v>176</v>
      </c>
      <c r="D12" s="335">
        <v>109</v>
      </c>
      <c r="E12" s="335">
        <v>2</v>
      </c>
      <c r="F12" s="335">
        <v>950</v>
      </c>
      <c r="G12" s="335">
        <v>1300</v>
      </c>
      <c r="H12" s="335">
        <v>1750</v>
      </c>
      <c r="I12" s="335">
        <v>2100</v>
      </c>
      <c r="J12" s="335">
        <v>2550</v>
      </c>
      <c r="K12" s="335">
        <v>2900</v>
      </c>
      <c r="L12" s="335">
        <v>640</v>
      </c>
      <c r="M12" s="335">
        <v>960</v>
      </c>
      <c r="N12" s="335">
        <v>1440</v>
      </c>
      <c r="O12" s="335">
        <v>1760</v>
      </c>
      <c r="P12" s="335">
        <v>2250</v>
      </c>
      <c r="Q12" s="335">
        <v>2570</v>
      </c>
      <c r="R12" s="335">
        <v>19</v>
      </c>
    </row>
    <row r="13" spans="2:18" ht="14.25" hidden="1" x14ac:dyDescent="0.2">
      <c r="B13" s="335" t="s">
        <v>1184</v>
      </c>
      <c r="C13" s="335">
        <v>224</v>
      </c>
      <c r="D13" s="335">
        <v>109</v>
      </c>
      <c r="E13" s="335">
        <v>2</v>
      </c>
      <c r="F13" s="335">
        <v>950</v>
      </c>
      <c r="G13" s="335">
        <v>1300</v>
      </c>
      <c r="H13" s="335">
        <v>1750</v>
      </c>
      <c r="I13" s="335">
        <v>2100</v>
      </c>
      <c r="J13" s="335">
        <v>2550</v>
      </c>
      <c r="K13" s="335">
        <v>2900</v>
      </c>
      <c r="L13" s="335">
        <v>640</v>
      </c>
      <c r="M13" s="335">
        <v>960</v>
      </c>
      <c r="N13" s="335">
        <v>1440</v>
      </c>
      <c r="O13" s="335">
        <v>1760</v>
      </c>
      <c r="P13" s="335">
        <v>2250</v>
      </c>
      <c r="Q13" s="335">
        <v>2570</v>
      </c>
      <c r="R13" s="335">
        <v>19</v>
      </c>
    </row>
    <row r="14" spans="2:18" ht="14.25" hidden="1" x14ac:dyDescent="0.2">
      <c r="B14" s="335" t="s">
        <v>1185</v>
      </c>
      <c r="C14" s="335">
        <v>272</v>
      </c>
      <c r="D14" s="335">
        <v>109</v>
      </c>
      <c r="E14" s="335">
        <v>2</v>
      </c>
      <c r="F14" s="335">
        <v>950</v>
      </c>
      <c r="G14" s="335">
        <v>1300</v>
      </c>
      <c r="H14" s="335">
        <v>1750</v>
      </c>
      <c r="I14" s="335">
        <v>2100</v>
      </c>
      <c r="J14" s="335">
        <v>2550</v>
      </c>
      <c r="K14" s="335">
        <v>2900</v>
      </c>
      <c r="L14" s="335">
        <v>640</v>
      </c>
      <c r="M14" s="335">
        <v>960</v>
      </c>
      <c r="N14" s="335">
        <v>1440</v>
      </c>
      <c r="O14" s="335">
        <v>1760</v>
      </c>
      <c r="P14" s="335">
        <v>2250</v>
      </c>
      <c r="Q14" s="335">
        <v>2570</v>
      </c>
      <c r="R14" s="335">
        <v>19</v>
      </c>
    </row>
    <row r="15" spans="2:18" ht="14.25" hidden="1" x14ac:dyDescent="0.2">
      <c r="B15" s="335" t="s">
        <v>1186</v>
      </c>
      <c r="C15" s="335">
        <v>256</v>
      </c>
      <c r="D15" s="335">
        <v>125</v>
      </c>
      <c r="E15" s="335">
        <v>2</v>
      </c>
      <c r="F15" s="335">
        <v>950</v>
      </c>
      <c r="G15" s="335">
        <v>1300</v>
      </c>
      <c r="H15" s="335">
        <v>1750</v>
      </c>
      <c r="I15" s="335">
        <v>2100</v>
      </c>
      <c r="J15" s="335">
        <v>2550</v>
      </c>
      <c r="K15" s="335">
        <v>2900</v>
      </c>
      <c r="L15" s="335">
        <v>640</v>
      </c>
      <c r="M15" s="335">
        <v>960</v>
      </c>
      <c r="N15" s="335">
        <v>1440</v>
      </c>
      <c r="O15" s="335">
        <v>1760</v>
      </c>
      <c r="P15" s="335">
        <v>2250</v>
      </c>
      <c r="Q15" s="335">
        <v>2570</v>
      </c>
      <c r="R15" s="335">
        <v>21</v>
      </c>
    </row>
    <row r="16" spans="2:18" ht="14.25" hidden="1" x14ac:dyDescent="0.2">
      <c r="B16" s="335" t="s">
        <v>1187</v>
      </c>
      <c r="C16" s="335">
        <v>304</v>
      </c>
      <c r="D16" s="335">
        <v>125</v>
      </c>
      <c r="E16" s="335">
        <v>2</v>
      </c>
      <c r="F16" s="335">
        <v>950</v>
      </c>
      <c r="G16" s="335">
        <v>1300</v>
      </c>
      <c r="H16" s="335">
        <v>1750</v>
      </c>
      <c r="I16" s="335">
        <v>2100</v>
      </c>
      <c r="J16" s="335">
        <v>2550</v>
      </c>
      <c r="K16" s="335">
        <v>2900</v>
      </c>
      <c r="L16" s="335">
        <v>640</v>
      </c>
      <c r="M16" s="335">
        <v>960</v>
      </c>
      <c r="N16" s="335">
        <v>1440</v>
      </c>
      <c r="O16" s="335">
        <v>1760</v>
      </c>
      <c r="P16" s="335">
        <v>2250</v>
      </c>
      <c r="Q16" s="335">
        <v>2570</v>
      </c>
      <c r="R16" s="335">
        <v>21</v>
      </c>
    </row>
    <row r="18" spans="2:25" ht="12" customHeight="1" x14ac:dyDescent="0.2"/>
    <row r="19" spans="2:25" ht="14.25" customHeight="1" x14ac:dyDescent="0.2"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</row>
    <row r="20" spans="2:25" x14ac:dyDescent="0.25">
      <c r="B20" s="337" t="str">
        <f>VLOOKUP(86,TXT,$D$2,0)</f>
        <v>Sprache</v>
      </c>
      <c r="C20" s="396" t="s">
        <v>1079</v>
      </c>
      <c r="D20" s="397"/>
      <c r="E20" s="398"/>
      <c r="F20" s="337"/>
      <c r="G20" s="337"/>
      <c r="H20" s="337"/>
      <c r="I20" s="337"/>
      <c r="J20" s="337"/>
      <c r="K20" s="338"/>
      <c r="L20" s="338"/>
      <c r="M20" s="338"/>
      <c r="N20" s="339"/>
      <c r="O20" s="340" t="str">
        <f>CONCATENATE(VLOOKUP(66,TXT,$D$2,0)," [°C]")</f>
        <v>Vorlauftemperatur [°C]</v>
      </c>
      <c r="P20" s="337"/>
      <c r="Q20" s="402">
        <v>50</v>
      </c>
      <c r="R20" s="402"/>
      <c r="S20" s="402"/>
    </row>
    <row r="21" spans="2:25" x14ac:dyDescent="0.25">
      <c r="B21" s="337" t="str">
        <f>VLOOKUP(9,TXT,$D$2,0)</f>
        <v>Modell</v>
      </c>
      <c r="C21" s="396" t="s">
        <v>1184</v>
      </c>
      <c r="D21" s="397"/>
      <c r="E21" s="398"/>
      <c r="F21" s="337"/>
      <c r="G21" s="337"/>
      <c r="H21" s="337"/>
      <c r="I21" s="337"/>
      <c r="J21" s="337"/>
      <c r="K21" s="338"/>
      <c r="L21" s="338"/>
      <c r="M21" s="338"/>
      <c r="N21" s="339"/>
      <c r="O21" s="340" t="str">
        <f>CONCATENATE(VLOOKUP(67,TXT,$D$2,0)," [°C]")</f>
        <v>Rücklauftemperatur [°C]</v>
      </c>
      <c r="P21" s="337"/>
      <c r="Q21" s="402">
        <v>40</v>
      </c>
      <c r="R21" s="402"/>
      <c r="S21" s="402"/>
    </row>
    <row r="22" spans="2:25" x14ac:dyDescent="0.25">
      <c r="B22" s="337"/>
      <c r="C22" s="337"/>
      <c r="D22" s="337"/>
      <c r="E22" s="337"/>
      <c r="F22" s="337"/>
      <c r="G22" s="337"/>
      <c r="H22" s="337"/>
      <c r="I22" s="337"/>
      <c r="J22" s="337"/>
      <c r="K22" s="338"/>
      <c r="L22" s="338"/>
      <c r="M22" s="338"/>
      <c r="N22" s="339"/>
      <c r="O22" s="340" t="str">
        <f>CONCATENATE(VLOOKUP(68,TXT,$D$2,0)," [°C]")</f>
        <v>Raumtemperatur [°C]</v>
      </c>
      <c r="P22" s="337"/>
      <c r="Q22" s="402">
        <v>20</v>
      </c>
      <c r="R22" s="402"/>
      <c r="S22" s="402"/>
    </row>
    <row r="23" spans="2:25" ht="6.75" customHeight="1" x14ac:dyDescent="0.25">
      <c r="B23" s="341"/>
      <c r="C23" s="33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42"/>
      <c r="O23" s="342"/>
      <c r="P23" s="337"/>
      <c r="Q23" s="342"/>
      <c r="R23" s="342"/>
      <c r="S23" s="342"/>
    </row>
    <row r="24" spans="2:25" ht="18" x14ac:dyDescent="0.25">
      <c r="B24" s="343"/>
      <c r="C24" s="343"/>
      <c r="D24" s="343"/>
      <c r="E24" s="337"/>
      <c r="F24" s="337"/>
      <c r="G24" s="337"/>
      <c r="H24" s="337"/>
      <c r="I24" s="337"/>
      <c r="J24" s="337"/>
      <c r="K24" s="399" t="str">
        <f>VLOOKUP(32,TXT,$D$2,0)</f>
        <v>Breite Bodenkonvektor</v>
      </c>
      <c r="L24" s="399"/>
      <c r="M24" s="399"/>
      <c r="N24" s="399"/>
      <c r="O24" s="399"/>
      <c r="P24" s="399"/>
      <c r="Q24" s="403">
        <f>VLOOKUP(C21,ABMESSUNG,2,0)</f>
        <v>224</v>
      </c>
      <c r="R24" s="403"/>
      <c r="S24" s="403"/>
    </row>
    <row r="25" spans="2:25" x14ac:dyDescent="0.25">
      <c r="B25" s="404" t="s">
        <v>1569</v>
      </c>
      <c r="C25" s="404"/>
      <c r="D25" s="404"/>
      <c r="E25" s="337"/>
      <c r="F25" s="337"/>
      <c r="G25" s="337"/>
      <c r="H25" s="337"/>
      <c r="I25" s="337"/>
      <c r="J25" s="337"/>
      <c r="K25" s="399" t="str">
        <f>VLOOKUP(33,TXT,$D$2,0)</f>
        <v>Höhe Bodenkonvektor</v>
      </c>
      <c r="L25" s="399"/>
      <c r="M25" s="399"/>
      <c r="N25" s="399"/>
      <c r="O25" s="399"/>
      <c r="P25" s="399"/>
      <c r="Q25" s="403">
        <f>VLOOKUP(C21,ABMESSUNG,3,0)</f>
        <v>109</v>
      </c>
      <c r="R25" s="403"/>
      <c r="S25" s="403"/>
    </row>
    <row r="26" spans="2:25" ht="18" customHeight="1" x14ac:dyDescent="0.25">
      <c r="S26" s="344" t="str">
        <f>IF(OR((Q20-Q21)&lt;3,(Q21-Q22)&lt;3,(Q20-Q21)&gt;25,Q22&lt;15),VLOOKUP(94,TXT,$D$2,0),"")</f>
        <v/>
      </c>
      <c r="Y26" s="345"/>
    </row>
    <row r="27" spans="2:25" ht="16.5" customHeight="1" x14ac:dyDescent="0.2">
      <c r="B27" s="346"/>
      <c r="C27" s="347"/>
      <c r="D27" s="348"/>
      <c r="E27" s="346"/>
      <c r="F27" s="346"/>
      <c r="G27" s="346"/>
      <c r="H27" s="347"/>
      <c r="I27" s="346"/>
      <c r="J27" s="346"/>
      <c r="K27" s="346"/>
      <c r="L27" s="347"/>
      <c r="M27" s="346"/>
      <c r="N27" s="347"/>
      <c r="O27" s="346"/>
      <c r="P27" s="347"/>
      <c r="Q27" s="346"/>
      <c r="R27" s="346"/>
      <c r="S27" s="345"/>
    </row>
    <row r="28" spans="2:25" x14ac:dyDescent="0.2">
      <c r="B28" s="349" t="str">
        <f>VLOOKUP(92,TXT,$D$2,0)</f>
        <v>Heizleistung [W]</v>
      </c>
      <c r="C28" s="349"/>
      <c r="D28" s="349"/>
      <c r="E28" s="338"/>
      <c r="F28" s="338"/>
      <c r="G28" s="338"/>
      <c r="H28" s="338"/>
      <c r="I28" s="338"/>
      <c r="J28" s="338"/>
      <c r="K28" s="338"/>
      <c r="L28" s="338"/>
      <c r="M28" s="338"/>
      <c r="N28" s="338"/>
      <c r="O28" s="338"/>
      <c r="P28" s="338"/>
      <c r="Q28" s="338"/>
      <c r="R28" s="338"/>
      <c r="S28" s="350"/>
    </row>
    <row r="29" spans="2:25" ht="18.75" customHeight="1" x14ac:dyDescent="0.2">
      <c r="B29" s="400" t="str">
        <f>CONCATENATE(C21)</f>
        <v>FAN 224-109</v>
      </c>
      <c r="C29" s="400"/>
      <c r="D29" s="400"/>
      <c r="E29" s="401" t="str">
        <f>VLOOKUP(14,TXT,$D$2,0)</f>
        <v>Leistungsprozent</v>
      </c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351"/>
      <c r="S29" s="352"/>
    </row>
    <row r="30" spans="2:25" ht="25.15" customHeight="1" x14ac:dyDescent="0.2">
      <c r="B30" s="353" t="str">
        <f>VLOOKUP(1,TXT,$D$2,0)</f>
        <v>Wanne Bk [mm]</v>
      </c>
      <c r="C30" s="395" t="str">
        <f>VLOOKUP(2,TXT,$D$2,0)</f>
        <v>Element He [mm]</v>
      </c>
      <c r="D30" s="395"/>
      <c r="E30" s="355">
        <v>0.2</v>
      </c>
      <c r="F30" s="354" t="s">
        <v>1124</v>
      </c>
      <c r="G30" s="355">
        <v>0.3</v>
      </c>
      <c r="H30" s="354" t="s">
        <v>1124</v>
      </c>
      <c r="I30" s="355">
        <v>0.4</v>
      </c>
      <c r="J30" s="354" t="s">
        <v>1124</v>
      </c>
      <c r="K30" s="355">
        <v>0.5</v>
      </c>
      <c r="L30" s="354" t="s">
        <v>1124</v>
      </c>
      <c r="M30" s="355">
        <v>0.6</v>
      </c>
      <c r="N30" s="354" t="s">
        <v>1124</v>
      </c>
      <c r="O30" s="355">
        <v>0.8</v>
      </c>
      <c r="P30" s="354" t="s">
        <v>1124</v>
      </c>
      <c r="Q30" s="355">
        <v>1</v>
      </c>
      <c r="R30" s="354" t="s">
        <v>1124</v>
      </c>
      <c r="S30" s="356" t="s">
        <v>970</v>
      </c>
    </row>
    <row r="31" spans="2:25" ht="18" customHeight="1" x14ac:dyDescent="0.2">
      <c r="B31" s="357">
        <f>VLOOKUP($C$21,ABMESSUNG,5,0)</f>
        <v>950</v>
      </c>
      <c r="C31" s="358">
        <f>VLOOKUP($C$21,ABMESSUNG,11,0)</f>
        <v>640</v>
      </c>
      <c r="D31" s="359" t="s">
        <v>1112</v>
      </c>
      <c r="E31" s="360">
        <f>ROUND(E32*0.5,0)</f>
        <v>99</v>
      </c>
      <c r="F31" s="365">
        <f t="shared" ref="F31:F36" si="0">ROUND(E31/($E$5*1.161),0)</f>
        <v>9</v>
      </c>
      <c r="G31" s="360">
        <f>ROUND(G32*0.5,0)</f>
        <v>198</v>
      </c>
      <c r="H31" s="365">
        <f t="shared" ref="H31:H36" si="1">ROUND(G31/($E$5*1.161),0)</f>
        <v>17</v>
      </c>
      <c r="I31" s="360">
        <f>ROUND(I32*0.5,0)</f>
        <v>241</v>
      </c>
      <c r="J31" s="365">
        <f t="shared" ref="J31:J36" si="2">ROUND(I31/($E$5*1.161),0)</f>
        <v>21</v>
      </c>
      <c r="K31" s="360">
        <f>ROUND(K32*0.5,0)</f>
        <v>288</v>
      </c>
      <c r="L31" s="365">
        <f t="shared" ref="L31:L36" si="3">ROUND(K31/($E$5*1.161),0)</f>
        <v>25</v>
      </c>
      <c r="M31" s="360">
        <f>ROUND(M32*0.5,0)</f>
        <v>311</v>
      </c>
      <c r="N31" s="365">
        <f t="shared" ref="N31:N36" si="4">ROUND(M31/($E$5*1.161),0)</f>
        <v>27</v>
      </c>
      <c r="O31" s="360">
        <f>ROUND(O32*0.5,0)</f>
        <v>370</v>
      </c>
      <c r="P31" s="365">
        <f t="shared" ref="P31:P36" si="5">ROUND(O31/($E$5*1.161),0)</f>
        <v>32</v>
      </c>
      <c r="Q31" s="360">
        <f>ROUND(Q32*0.5,0)</f>
        <v>422</v>
      </c>
      <c r="R31" s="365">
        <f t="shared" ref="R31:R36" si="6">ROUND(Q31/($E$5*1.161),0)</f>
        <v>36</v>
      </c>
      <c r="S31" s="361" t="s">
        <v>1084</v>
      </c>
    </row>
    <row r="32" spans="2:25" ht="18" customHeight="1" x14ac:dyDescent="0.2">
      <c r="B32" s="357">
        <f>VLOOKUP($C$21,ABMESSUNG,6,0)</f>
        <v>1300</v>
      </c>
      <c r="C32" s="358">
        <f>VLOOKUP($C$21,ABMESSUNG,12,0)</f>
        <v>960</v>
      </c>
      <c r="D32" s="359" t="s">
        <v>1112</v>
      </c>
      <c r="E32" s="360">
        <f>ROUND(VLOOKUP($C$21,BASE_FAN_TOOLS!A2:J9,2,0)*(VLOOKUP($D$5,FAKT_C109,3,1)),0)</f>
        <v>197</v>
      </c>
      <c r="F32" s="365">
        <f t="shared" si="0"/>
        <v>17</v>
      </c>
      <c r="G32" s="360">
        <f>ROUND(VLOOKUP($C$21,BASE_FAN_TOOLS!A2:J9,3,0)*(VLOOKUP($D$5,FAKT_C109,3,1)),0)</f>
        <v>395</v>
      </c>
      <c r="H32" s="365">
        <f t="shared" si="1"/>
        <v>34</v>
      </c>
      <c r="I32" s="360">
        <f>ROUND(VLOOKUP($C$21,BASE_FAN_TOOLS!A2:J9,4,0)*(VLOOKUP($D$5,FAKT_C109,3,1)),0)</f>
        <v>482</v>
      </c>
      <c r="J32" s="365">
        <f t="shared" si="2"/>
        <v>42</v>
      </c>
      <c r="K32" s="360">
        <f>ROUND(VLOOKUP($C$21,BASE_FAN_TOOLS!A2:J9,5,0)*(VLOOKUP($D$5,FAKT_C109,3,1)),0)</f>
        <v>575</v>
      </c>
      <c r="L32" s="365">
        <f t="shared" si="3"/>
        <v>50</v>
      </c>
      <c r="M32" s="360">
        <f>ROUND(VLOOKUP($C$21,BASE_FAN_TOOLS!A2:J9,6,0)*(VLOOKUP($D$5,FAKT_C109,3,1)),0)</f>
        <v>622</v>
      </c>
      <c r="N32" s="365">
        <f t="shared" si="4"/>
        <v>54</v>
      </c>
      <c r="O32" s="360">
        <f>ROUND(VLOOKUP($C$21,BASE_FAN_TOOLS!A2:J9,8,0)*(VLOOKUP($D$5,FAKT_C109,3,1)),0)</f>
        <v>739</v>
      </c>
      <c r="P32" s="365">
        <f t="shared" si="5"/>
        <v>64</v>
      </c>
      <c r="Q32" s="360">
        <f>ROUND(VLOOKUP($C$21,BASE_FAN_TOOLS!A2:J9,10,0)*(VLOOKUP($D$5,FAKT_C109,3,1)),0)</f>
        <v>843</v>
      </c>
      <c r="R32" s="365">
        <f t="shared" si="6"/>
        <v>73</v>
      </c>
      <c r="S32" s="361" t="s">
        <v>1085</v>
      </c>
    </row>
    <row r="33" spans="2:21" ht="18" customHeight="1" x14ac:dyDescent="0.2">
      <c r="B33" s="357">
        <f>VLOOKUP($C$21,ABMESSUNG,7,0)</f>
        <v>1750</v>
      </c>
      <c r="C33" s="358">
        <f>VLOOKUP($C$21,ABMESSUNG,13,0)</f>
        <v>1440</v>
      </c>
      <c r="D33" s="359" t="s">
        <v>1112</v>
      </c>
      <c r="E33" s="360">
        <f>ROUND(E32*1.5,0)</f>
        <v>296</v>
      </c>
      <c r="F33" s="365">
        <f t="shared" si="0"/>
        <v>25</v>
      </c>
      <c r="G33" s="360">
        <f>ROUND(G32*1.5,0)</f>
        <v>593</v>
      </c>
      <c r="H33" s="365">
        <f t="shared" si="1"/>
        <v>51</v>
      </c>
      <c r="I33" s="360">
        <f>ROUND(I32*1.5,0)</f>
        <v>723</v>
      </c>
      <c r="J33" s="365">
        <f t="shared" si="2"/>
        <v>62</v>
      </c>
      <c r="K33" s="360">
        <f>ROUND(K32*1.5,0)</f>
        <v>863</v>
      </c>
      <c r="L33" s="365">
        <f t="shared" si="3"/>
        <v>74</v>
      </c>
      <c r="M33" s="360">
        <f>ROUND(M32*1.5,0)</f>
        <v>933</v>
      </c>
      <c r="N33" s="365">
        <f t="shared" si="4"/>
        <v>80</v>
      </c>
      <c r="O33" s="360">
        <f>ROUND(O32*1.5,0)</f>
        <v>1109</v>
      </c>
      <c r="P33" s="365">
        <f t="shared" si="5"/>
        <v>96</v>
      </c>
      <c r="Q33" s="360">
        <f>ROUND(Q32*1.5,0)</f>
        <v>1265</v>
      </c>
      <c r="R33" s="365">
        <f t="shared" si="6"/>
        <v>109</v>
      </c>
      <c r="S33" s="361" t="s">
        <v>1086</v>
      </c>
    </row>
    <row r="34" spans="2:21" ht="18" customHeight="1" x14ac:dyDescent="0.2">
      <c r="B34" s="357">
        <f>VLOOKUP($C$21,ABMESSUNG,8,0)</f>
        <v>2100</v>
      </c>
      <c r="C34" s="358">
        <f>VLOOKUP($C$21,ABMESSUNG,14,0)</f>
        <v>1760</v>
      </c>
      <c r="D34" s="359" t="s">
        <v>1112</v>
      </c>
      <c r="E34" s="360">
        <f>ROUND(E32*2,0)</f>
        <v>394</v>
      </c>
      <c r="F34" s="365">
        <f t="shared" si="0"/>
        <v>34</v>
      </c>
      <c r="G34" s="360">
        <f>ROUND(G32*2,0)</f>
        <v>790</v>
      </c>
      <c r="H34" s="365">
        <f t="shared" si="1"/>
        <v>68</v>
      </c>
      <c r="I34" s="360">
        <f>ROUND(I32*2,0)</f>
        <v>964</v>
      </c>
      <c r="J34" s="365">
        <f t="shared" si="2"/>
        <v>83</v>
      </c>
      <c r="K34" s="360">
        <f>ROUND(K32*2,0)</f>
        <v>1150</v>
      </c>
      <c r="L34" s="365">
        <f t="shared" si="3"/>
        <v>99</v>
      </c>
      <c r="M34" s="360">
        <f>ROUND(M32*2,0)</f>
        <v>1244</v>
      </c>
      <c r="N34" s="365">
        <f t="shared" si="4"/>
        <v>107</v>
      </c>
      <c r="O34" s="360">
        <f>ROUND(O32*2,0)</f>
        <v>1478</v>
      </c>
      <c r="P34" s="365">
        <f t="shared" si="5"/>
        <v>127</v>
      </c>
      <c r="Q34" s="360">
        <f>ROUND(Q32*2,0)</f>
        <v>1686</v>
      </c>
      <c r="R34" s="365">
        <f t="shared" si="6"/>
        <v>145</v>
      </c>
      <c r="S34" s="361" t="s">
        <v>1087</v>
      </c>
    </row>
    <row r="35" spans="2:21" ht="18" customHeight="1" x14ac:dyDescent="0.2">
      <c r="B35" s="357">
        <f>VLOOKUP($C$21,ABMESSUNG,9,0)</f>
        <v>2550</v>
      </c>
      <c r="C35" s="358">
        <f>VLOOKUP($C$21,ABMESSUNG,15,0)</f>
        <v>2250</v>
      </c>
      <c r="D35" s="359" t="s">
        <v>1112</v>
      </c>
      <c r="E35" s="360">
        <f>ROUND(E32*2.5,0)</f>
        <v>493</v>
      </c>
      <c r="F35" s="365">
        <f t="shared" si="0"/>
        <v>42</v>
      </c>
      <c r="G35" s="360">
        <f>ROUND(G32*2.5,0)</f>
        <v>988</v>
      </c>
      <c r="H35" s="365">
        <f t="shared" si="1"/>
        <v>85</v>
      </c>
      <c r="I35" s="360">
        <f>ROUND(I32*2.5,0)</f>
        <v>1205</v>
      </c>
      <c r="J35" s="365">
        <f t="shared" si="2"/>
        <v>104</v>
      </c>
      <c r="K35" s="360">
        <f>ROUND(K32*2.5,0)</f>
        <v>1438</v>
      </c>
      <c r="L35" s="365">
        <f t="shared" si="3"/>
        <v>124</v>
      </c>
      <c r="M35" s="360">
        <f>ROUND(M32*2.5,0)</f>
        <v>1555</v>
      </c>
      <c r="N35" s="365">
        <f t="shared" si="4"/>
        <v>134</v>
      </c>
      <c r="O35" s="360">
        <f>ROUND(O32*2.5,0)</f>
        <v>1848</v>
      </c>
      <c r="P35" s="365">
        <f t="shared" si="5"/>
        <v>159</v>
      </c>
      <c r="Q35" s="360">
        <f>ROUND(Q32*2.5,0)</f>
        <v>2108</v>
      </c>
      <c r="R35" s="365">
        <f t="shared" si="6"/>
        <v>182</v>
      </c>
      <c r="S35" s="361" t="s">
        <v>1088</v>
      </c>
      <c r="U35" s="362"/>
    </row>
    <row r="36" spans="2:21" ht="18" customHeight="1" x14ac:dyDescent="0.2">
      <c r="B36" s="357">
        <f>VLOOKUP($C$21,ABMESSUNG,10,0)</f>
        <v>2900</v>
      </c>
      <c r="C36" s="358">
        <f>VLOOKUP($C$21,ABMESSUNG,16,0)</f>
        <v>2570</v>
      </c>
      <c r="D36" s="359" t="s">
        <v>1112</v>
      </c>
      <c r="E36" s="360">
        <f>ROUND(E32*3,0)</f>
        <v>591</v>
      </c>
      <c r="F36" s="365">
        <f t="shared" si="0"/>
        <v>51</v>
      </c>
      <c r="G36" s="360">
        <f>ROUND(G32*3,0)</f>
        <v>1185</v>
      </c>
      <c r="H36" s="365">
        <f t="shared" si="1"/>
        <v>102</v>
      </c>
      <c r="I36" s="360">
        <f>ROUND(I32*3,0)</f>
        <v>1446</v>
      </c>
      <c r="J36" s="365">
        <f t="shared" si="2"/>
        <v>125</v>
      </c>
      <c r="K36" s="360">
        <f>ROUND(K32*3,0)</f>
        <v>1725</v>
      </c>
      <c r="L36" s="365">
        <f t="shared" si="3"/>
        <v>149</v>
      </c>
      <c r="M36" s="360">
        <f>ROUND(M32*3,0)</f>
        <v>1866</v>
      </c>
      <c r="N36" s="365">
        <f t="shared" si="4"/>
        <v>161</v>
      </c>
      <c r="O36" s="360">
        <f>ROUND(O32*3,0)</f>
        <v>2217</v>
      </c>
      <c r="P36" s="365">
        <f t="shared" si="5"/>
        <v>191</v>
      </c>
      <c r="Q36" s="360">
        <f>ROUND(Q32*3,0)</f>
        <v>2529</v>
      </c>
      <c r="R36" s="365">
        <f t="shared" si="6"/>
        <v>218</v>
      </c>
      <c r="S36" s="361" t="s">
        <v>1089</v>
      </c>
    </row>
    <row r="37" spans="2:21" ht="14.25" x14ac:dyDescent="0.2">
      <c r="S37" s="345" t="str">
        <f>VLOOKUP(16,TXT,$D$2,0)</f>
        <v>Wärmeleistungen in Anlehnung an EN 442-2</v>
      </c>
    </row>
    <row r="38" spans="2:21" ht="15" customHeight="1" x14ac:dyDescent="0.2">
      <c r="B38" s="362" t="str">
        <f>VLOOKUP(15,TXT,$D$2,0)</f>
        <v>Angabe in Watt  pro Bodenkonvektor-Länge Bk [mm]</v>
      </c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</row>
    <row r="39" spans="2:21" ht="14.25" x14ac:dyDescent="0.2">
      <c r="B39" s="362" t="str">
        <f>VLOOKUP(90,TXT,$D$2,0)</f>
        <v>Leistungsdaten mit Abdeckung, Rollrost Typ 941-17-B (f.Q. 70%)</v>
      </c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363" t="str">
        <f>VLOOKUP(VLOOKUP($C$21,ABMESSUNG,17,0),TXT,$D$2,0)</f>
        <v>Querstromgebläse EC45 24VDC</v>
      </c>
    </row>
    <row r="40" spans="2:21" ht="14.25" x14ac:dyDescent="0.2">
      <c r="B40" s="362" t="str">
        <f>VLOOKUP(91,TXT,$D$2,0)</f>
        <v>Bei abweichenden Abdeckungen, ist mit einer Leistungsminderung zu rechnen</v>
      </c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5" t="str">
        <f>VLOOKUP(87,TXT,$D$2,0)</f>
        <v>M: Anzahl Motoren</v>
      </c>
    </row>
    <row r="41" spans="2:21" ht="14.25" x14ac:dyDescent="0.2">
      <c r="B41" s="362" t="str">
        <f>VLOOKUP(93,TXT,$D$2,0)</f>
        <v>Sonderkonstruktion unterliegen nicht jener Leistungstabelle</v>
      </c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5" t="str">
        <f>VLOOKUP(88,TXT,$D$2,0)</f>
        <v>QVw: Anzahl Ventilatoren-Walzen</v>
      </c>
    </row>
    <row r="42" spans="2:21" ht="14.25" x14ac:dyDescent="0.2">
      <c r="B42" s="362" t="str">
        <f>CONCATENATE("(*) ",VLOOKUP(29,TXT,$D$2,0))</f>
        <v>(*) Minimale Wassermassenströme von ca. 20 kg/h sollen eingehalten werden</v>
      </c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5" t="str">
        <f>VLOOKUP(89,TXT,$D$2,0)</f>
        <v>ṁ: Wassermassenstrom [kg/h]</v>
      </c>
    </row>
    <row r="43" spans="2:21" ht="14.25" x14ac:dyDescent="0.2">
      <c r="B43" s="362" t="str">
        <f>CONCATENATE("(*) ",VLOOKUP(95,TXT,$D$2,0))</f>
        <v>(*) Massenstrom rechnerisch ermittelt, allfäliger Projektabgleich machen</v>
      </c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346"/>
      <c r="R43" s="346"/>
    </row>
    <row r="44" spans="2:21" ht="14.25" x14ac:dyDescent="0.2">
      <c r="B44" s="362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64"/>
    </row>
    <row r="45" spans="2:21" ht="14.25" x14ac:dyDescent="0.2"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</row>
    <row r="46" spans="2:21" ht="14.25" x14ac:dyDescent="0.2"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</row>
    <row r="47" spans="2:21" ht="12" customHeight="1" x14ac:dyDescent="0.2"/>
  </sheetData>
  <sheetProtection algorithmName="SHA-512" hashValue="Lku9+2ghTxBWKSbBl0Z+6czLIwQ/mej9VDvEvo5GJV86+5PbXgzyIh4MVywSXE/aBPpzStuGYTWQI3sOQedZGQ==" saltValue="cPO9mrC68iTc3VYW33mp/Q==" spinCount="100000" sheet="1" objects="1" scenarios="1" selectLockedCells="1"/>
  <protectedRanges>
    <protectedRange sqref="C20:C21 Q20:R22" name="Bereich1"/>
  </protectedRanges>
  <mergeCells count="13">
    <mergeCell ref="C30:D30"/>
    <mergeCell ref="C20:E20"/>
    <mergeCell ref="C21:E21"/>
    <mergeCell ref="K24:P24"/>
    <mergeCell ref="K25:P25"/>
    <mergeCell ref="B29:D29"/>
    <mergeCell ref="E29:Q29"/>
    <mergeCell ref="Q22:S22"/>
    <mergeCell ref="Q24:S24"/>
    <mergeCell ref="B25:D25"/>
    <mergeCell ref="Q25:S25"/>
    <mergeCell ref="Q20:S20"/>
    <mergeCell ref="Q21:S21"/>
  </mergeCells>
  <conditionalFormatting sqref="Q20:S22">
    <cfRule type="expression" dxfId="240" priority="1">
      <formula>$S$26&lt;&gt;""</formula>
    </cfRule>
  </conditionalFormatting>
  <dataValidations count="5">
    <dataValidation type="whole" allowBlank="1" showInputMessage="1" showErrorMessage="1" sqref="Q22:S22" xr:uid="{C96E61E5-DF96-4FB3-AFBD-42C7C5A642FE}">
      <formula1>15</formula1>
      <formula2>29</formula2>
    </dataValidation>
    <dataValidation type="whole" allowBlank="1" showInputMessage="1" showErrorMessage="1" sqref="Q21:S21" xr:uid="{0FF19B0C-ADA6-4E35-B99D-664671A95F37}">
      <formula1>25</formula1>
      <formula2>85</formula2>
    </dataValidation>
    <dataValidation type="whole" allowBlank="1" showInputMessage="1" showErrorMessage="1" sqref="Q20:S20" xr:uid="{ECD5099E-5199-4459-92A0-3106F6D3A2D1}">
      <formula1>30</formula1>
      <formula2>90</formula2>
    </dataValidation>
    <dataValidation type="list" allowBlank="1" showInputMessage="1" showErrorMessage="1" sqref="C20" xr:uid="{5851EB7D-393A-4420-8941-B9408F527950}">
      <formula1>"Deutsch,Français"</formula1>
    </dataValidation>
    <dataValidation type="list" allowBlank="1" showInputMessage="1" showErrorMessage="1" sqref="C21" xr:uid="{279CA535-F94C-4F70-94CE-EF267EFE72E3}">
      <formula1>"FAN 192-090, FAN 224-090, FAN 272-090, FAN 176-109, FAN 224-109, FAN 272-109,FAN 256-125,FAN 304-125"</formula1>
    </dataValidation>
  </dataValidations>
  <pageMargins left="0.51181102362204722" right="0.31496062992125984" top="1.1811023622047245" bottom="0.78740157480314965" header="0.31496062992125984" footer="0.31496062992125984"/>
  <pageSetup paperSize="9" orientation="portrait" r:id="rId1"/>
  <headerFooter>
    <oddHeader>&amp;C&amp;G</oddHeader>
    <oddFooter>&amp;C&amp;G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F3CA6-33CE-419D-9750-DCB4A74F9D92}">
  <dimension ref="A1:K8"/>
  <sheetViews>
    <sheetView workbookViewId="0">
      <selection activeCell="F3" sqref="F3:G3"/>
    </sheetView>
  </sheetViews>
  <sheetFormatPr baseColWidth="10" defaultRowHeight="12.75" x14ac:dyDescent="0.2"/>
  <cols>
    <col min="1" max="16384" width="11.42578125" style="101"/>
  </cols>
  <sheetData>
    <row r="1" spans="1:11" x14ac:dyDescent="0.2">
      <c r="B1" s="101" t="s">
        <v>1188</v>
      </c>
      <c r="C1" s="101" t="s">
        <v>1189</v>
      </c>
      <c r="D1" s="101" t="s">
        <v>1190</v>
      </c>
      <c r="E1" s="101" t="s">
        <v>1191</v>
      </c>
      <c r="F1" s="101" t="s">
        <v>1192</v>
      </c>
      <c r="G1" s="101" t="s">
        <v>1193</v>
      </c>
      <c r="H1" s="101" t="s">
        <v>1194</v>
      </c>
      <c r="I1" s="101" t="s">
        <v>1195</v>
      </c>
      <c r="J1" s="101" t="s">
        <v>1196</v>
      </c>
      <c r="K1" s="101" t="s">
        <v>1082</v>
      </c>
    </row>
    <row r="2" spans="1:11" x14ac:dyDescent="0.2">
      <c r="A2" s="101" t="s">
        <v>1197</v>
      </c>
      <c r="B2" s="101">
        <v>327</v>
      </c>
      <c r="C2" s="101">
        <v>451</v>
      </c>
      <c r="D2" s="101">
        <v>579</v>
      </c>
      <c r="E2" s="101">
        <v>524</v>
      </c>
      <c r="F2" s="101">
        <v>759</v>
      </c>
      <c r="G2" s="101">
        <v>988</v>
      </c>
      <c r="H2" s="101">
        <v>621</v>
      </c>
      <c r="I2" s="101">
        <v>880</v>
      </c>
      <c r="J2" s="101">
        <v>1162</v>
      </c>
      <c r="K2" s="101" t="s">
        <v>1198</v>
      </c>
    </row>
    <row r="3" spans="1:11" x14ac:dyDescent="0.2">
      <c r="A3" s="124" t="s">
        <v>1199</v>
      </c>
      <c r="B3" s="101">
        <v>0.13900000000000001</v>
      </c>
      <c r="C3" s="101">
        <v>0.13900000000000001</v>
      </c>
      <c r="D3" s="101">
        <v>0.13900000000000001</v>
      </c>
      <c r="E3" s="101">
        <v>0.19600000000000001</v>
      </c>
      <c r="F3" s="101">
        <v>0.19600000000000001</v>
      </c>
      <c r="G3" s="101">
        <v>0.19600000000000001</v>
      </c>
      <c r="H3" s="101">
        <v>0.29399999999999998</v>
      </c>
      <c r="I3" s="101">
        <v>0.29399999999999998</v>
      </c>
      <c r="J3" s="101">
        <v>0.29399999999999998</v>
      </c>
      <c r="K3" s="101" t="s">
        <v>1198</v>
      </c>
    </row>
    <row r="5" spans="1:11" x14ac:dyDescent="0.2">
      <c r="A5" s="124" t="s">
        <v>1200</v>
      </c>
      <c r="B5" s="125">
        <v>44091</v>
      </c>
      <c r="C5" s="125">
        <v>44091</v>
      </c>
      <c r="D5" s="125">
        <v>44091</v>
      </c>
      <c r="E5" s="125">
        <v>44091</v>
      </c>
      <c r="F5" s="125">
        <v>44091</v>
      </c>
      <c r="G5" s="125">
        <v>44091</v>
      </c>
      <c r="H5" s="125">
        <v>44091</v>
      </c>
      <c r="I5" s="125">
        <v>44091</v>
      </c>
      <c r="J5" s="125">
        <v>44091</v>
      </c>
    </row>
    <row r="8" spans="1:11" x14ac:dyDescent="0.2">
      <c r="A8" s="102"/>
    </row>
  </sheetData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50</vt:i4>
      </vt:variant>
      <vt:variant>
        <vt:lpstr>Benannte Bereiche</vt:lpstr>
      </vt:variant>
      <vt:variant>
        <vt:i4>70</vt:i4>
      </vt:variant>
    </vt:vector>
  </HeadingPairs>
  <TitlesOfParts>
    <vt:vector size="120" baseType="lpstr">
      <vt:lpstr>BASE-C90POWER</vt:lpstr>
      <vt:lpstr>BASE-C120POWER</vt:lpstr>
      <vt:lpstr>BASE-C150POWER</vt:lpstr>
      <vt:lpstr>BASE-C200POWER</vt:lpstr>
      <vt:lpstr>TOOLS COLD</vt:lpstr>
      <vt:lpstr>BASE-COLD</vt:lpstr>
      <vt:lpstr>BASE-HEIZ</vt:lpstr>
      <vt:lpstr>TOOLS FAN</vt:lpstr>
      <vt:lpstr>BASE-FAN90-EC40-5</vt:lpstr>
      <vt:lpstr>TXT</vt:lpstr>
      <vt:lpstr>BASE_FAN_TOOLS</vt:lpstr>
      <vt:lpstr>TOOLS LIB</vt:lpstr>
      <vt:lpstr>COLD288-125-T2</vt:lpstr>
      <vt:lpstr>COLD288-125-N2</vt:lpstr>
      <vt:lpstr>COLD288-125-T4</vt:lpstr>
      <vt:lpstr>COLD288-125-N4</vt:lpstr>
      <vt:lpstr>COLD256-160-T2</vt:lpstr>
      <vt:lpstr>COLD256-160-N2</vt:lpstr>
      <vt:lpstr>COLD256-160-T4</vt:lpstr>
      <vt:lpstr>COLD256-160-N4</vt:lpstr>
      <vt:lpstr>Druckverust 2L</vt:lpstr>
      <vt:lpstr>Druckverust 4L</vt:lpstr>
      <vt:lpstr>FAN 90 EC40</vt:lpstr>
      <vt:lpstr>FAN 109 EC45</vt:lpstr>
      <vt:lpstr>BASE-FAN109-EC45-5</vt:lpstr>
      <vt:lpstr>FAN 125 EC65</vt:lpstr>
      <vt:lpstr>BASE-FAN125-EC65-5</vt:lpstr>
      <vt:lpstr>FAN 109 AC45</vt:lpstr>
      <vt:lpstr>BASE-FAN109-AC45-5</vt:lpstr>
      <vt:lpstr>LIB_090POWER</vt:lpstr>
      <vt:lpstr>LIB_120POWER</vt:lpstr>
      <vt:lpstr>LIB_150POWER</vt:lpstr>
      <vt:lpstr>LIB_200POWER</vt:lpstr>
      <vt:lpstr>LIB_90</vt:lpstr>
      <vt:lpstr>LIB_109</vt:lpstr>
      <vt:lpstr>LIB_140</vt:lpstr>
      <vt:lpstr>LIB_190</vt:lpstr>
      <vt:lpstr>BASE-C90</vt:lpstr>
      <vt:lpstr>BASE-C109</vt:lpstr>
      <vt:lpstr>BASE-C140</vt:lpstr>
      <vt:lpstr>BASE-C190</vt:lpstr>
      <vt:lpstr>TAB-FAKTOREN LIB</vt:lpstr>
      <vt:lpstr>TAB-FAKTOREN FAN</vt:lpstr>
      <vt:lpstr>FAKTOREN</vt:lpstr>
      <vt:lpstr>BASE-CVP</vt:lpstr>
      <vt:lpstr>TXT_K</vt:lpstr>
      <vt:lpstr>ARIA AUFLISTUNG</vt:lpstr>
      <vt:lpstr>EXTRA</vt:lpstr>
      <vt:lpstr>TEST</vt:lpstr>
      <vt:lpstr>FAKTOR-H</vt:lpstr>
      <vt:lpstr>ABMESSUNG</vt:lpstr>
      <vt:lpstr>ABMESSUNG_K</vt:lpstr>
      <vt:lpstr>ARIA176</vt:lpstr>
      <vt:lpstr>ARIA176P</vt:lpstr>
      <vt:lpstr>ARIA224</vt:lpstr>
      <vt:lpstr>ARIA224P</vt:lpstr>
      <vt:lpstr>ARIA240</vt:lpstr>
      <vt:lpstr>ARIA240P</vt:lpstr>
      <vt:lpstr>ARIA272</vt:lpstr>
      <vt:lpstr>ARIA272P</vt:lpstr>
      <vt:lpstr>ARIA304</vt:lpstr>
      <vt:lpstr>ARIA304P</vt:lpstr>
      <vt:lpstr>ARIA336</vt:lpstr>
      <vt:lpstr>ARIA336P</vt:lpstr>
      <vt:lpstr>ARIA368</vt:lpstr>
      <vt:lpstr>ARIA368P</vt:lpstr>
      <vt:lpstr>'BASE-C120POWER'!BASE_C109</vt:lpstr>
      <vt:lpstr>'BASE-C140'!BASE_C109</vt:lpstr>
      <vt:lpstr>'BASE-C150POWER'!BASE_C109</vt:lpstr>
      <vt:lpstr>'BASE-C190'!BASE_C109</vt:lpstr>
      <vt:lpstr>'BASE-C200POWER'!BASE_C109</vt:lpstr>
      <vt:lpstr>'BASE-C90'!BASE_C109</vt:lpstr>
      <vt:lpstr>'BASE-C90POWER'!BASE_C109</vt:lpstr>
      <vt:lpstr>'BASE-FAN109-AC45-5'!BASE_C109</vt:lpstr>
      <vt:lpstr>'BASE-FAN109-EC45-5'!BASE_C109</vt:lpstr>
      <vt:lpstr>'BASE-FAN125-EC65-5'!BASE_C109</vt:lpstr>
      <vt:lpstr>'BASE-FAN90-EC40-5'!BASE_C109</vt:lpstr>
      <vt:lpstr>BASE_C109</vt:lpstr>
      <vt:lpstr>BASE_CVP</vt:lpstr>
      <vt:lpstr>'BASE-FAN109-AC45-5'!BASE_CVQ109</vt:lpstr>
      <vt:lpstr>'BASE-FAN109-EC45-5'!BASE_CVQ109</vt:lpstr>
      <vt:lpstr>'BASE-FAN125-EC65-5'!BASE_CVQ109</vt:lpstr>
      <vt:lpstr>'BASE-FAN90-EC40-5'!BASE_CVQ109</vt:lpstr>
      <vt:lpstr>CVP_L</vt:lpstr>
      <vt:lpstr>'ARIA AUFLISTUNG'!Druckbereich</vt:lpstr>
      <vt:lpstr>'COLD256-160-N2'!Druckbereich</vt:lpstr>
      <vt:lpstr>'COLD256-160-N4'!Druckbereich</vt:lpstr>
      <vt:lpstr>'COLD256-160-T2'!Druckbereich</vt:lpstr>
      <vt:lpstr>'COLD256-160-T4'!Druckbereich</vt:lpstr>
      <vt:lpstr>'COLD288-125-N2'!Druckbereich</vt:lpstr>
      <vt:lpstr>'COLD288-125-N4'!Druckbereich</vt:lpstr>
      <vt:lpstr>'COLD288-125-T2'!Druckbereich</vt:lpstr>
      <vt:lpstr>'COLD288-125-T4'!Druckbereich</vt:lpstr>
      <vt:lpstr>'Druckverust 2L'!Druckbereich</vt:lpstr>
      <vt:lpstr>'Druckverust 4L'!Druckbereich</vt:lpstr>
      <vt:lpstr>'FAN 109 AC45'!Druckbereich</vt:lpstr>
      <vt:lpstr>'FAN 109 EC45'!Druckbereich</vt:lpstr>
      <vt:lpstr>'FAN 125 EC65'!Druckbereich</vt:lpstr>
      <vt:lpstr>'FAN 90 EC40'!Druckbereich</vt:lpstr>
      <vt:lpstr>LIB_090POWER!Druckbereich</vt:lpstr>
      <vt:lpstr>LIB_109!Druckbereich</vt:lpstr>
      <vt:lpstr>LIB_120POWER!Druckbereich</vt:lpstr>
      <vt:lpstr>LIB_140!Druckbereich</vt:lpstr>
      <vt:lpstr>LIB_150POWER!Druckbereich</vt:lpstr>
      <vt:lpstr>LIB_190!Druckbereich</vt:lpstr>
      <vt:lpstr>LIB_200POWER!Druckbereich</vt:lpstr>
      <vt:lpstr>LIB_90!Druckbereich</vt:lpstr>
      <vt:lpstr>'TAB-FAKTOREN FAN'!Druckbereich</vt:lpstr>
      <vt:lpstr>'TAB-FAKTOREN LIB'!Druckbereich</vt:lpstr>
      <vt:lpstr>'TOOLS COLD'!Druckbereich</vt:lpstr>
      <vt:lpstr>'TOOLS FAN'!Druckbereich</vt:lpstr>
      <vt:lpstr>'TOOLS LIB'!Druckbereich</vt:lpstr>
      <vt:lpstr>FAKT_C109</vt:lpstr>
      <vt:lpstr>FAKT256</vt:lpstr>
      <vt:lpstr>FAKT256_K</vt:lpstr>
      <vt:lpstr>FAKTOR_K</vt:lpstr>
      <vt:lpstr>LEISTUNGEN_K</vt:lpstr>
      <vt:lpstr>'TOOLS FAN'!TXT</vt:lpstr>
      <vt:lpstr>TXT</vt:lpstr>
      <vt:lpstr>TXT_K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Frédéric HERRGOTT</dc:creator>
  <cp:lastModifiedBy>Frédéric Herrgott</cp:lastModifiedBy>
  <cp:lastPrinted>2022-11-09T13:21:43Z</cp:lastPrinted>
  <dcterms:created xsi:type="dcterms:W3CDTF">2017-12-31T12:15:28Z</dcterms:created>
  <dcterms:modified xsi:type="dcterms:W3CDTF">2024-02-23T12:27:14Z</dcterms:modified>
</cp:coreProperties>
</file>